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"/>
    </mc:Choice>
  </mc:AlternateContent>
  <bookViews>
    <workbookView xWindow="0" yWindow="0" windowWidth="23040" windowHeight="8376"/>
  </bookViews>
  <sheets>
    <sheet name="Kaucje 215 800 0000 j.niepowiąz" sheetId="3" r:id="rId1"/>
    <sheet name="wysłane " sheetId="8" r:id="rId2"/>
    <sheet name="Kaucje 210 800 0000 j.powiąz." sheetId="6" r:id="rId3"/>
    <sheet name="Wadia 215 801 0000 j.niepowiąz." sheetId="5" r:id="rId4"/>
    <sheet name="Wadia 210 801 0000 j.powiąz." sheetId="7" r:id="rId5"/>
    <sheet name="Arkusz2" sheetId="10" r:id="rId6"/>
  </sheets>
  <definedNames>
    <definedName name="_xlnm._FilterDatabase" localSheetId="2" hidden="1">'Kaucje 210 800 0000 j.powiąz.'!$A$3:$AF$3</definedName>
    <definedName name="_xlnm._FilterDatabase" localSheetId="0" hidden="1">'Kaucje 215 800 0000 j.niepowiąz'!$A$3:$AH$322</definedName>
    <definedName name="_xlnm._FilterDatabase" localSheetId="3" hidden="1">'Wadia 215 801 0000 j.niepowiąz.'!$A$1:$I$15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1" i="3" l="1"/>
  <c r="AA281" i="3" s="1"/>
  <c r="AC281" i="3" s="1"/>
  <c r="S282" i="3"/>
  <c r="AB281" i="3"/>
  <c r="AE281" i="3"/>
  <c r="AF281" i="3"/>
  <c r="AG281" i="3"/>
  <c r="AH281" i="3"/>
  <c r="AA282" i="3"/>
  <c r="AB282" i="3"/>
  <c r="AC282" i="3"/>
  <c r="AD282" i="3"/>
  <c r="AE282" i="3"/>
  <c r="AF282" i="3"/>
  <c r="AG282" i="3"/>
  <c r="AH282" i="3"/>
  <c r="M283" i="3"/>
  <c r="N283" i="3"/>
  <c r="O283" i="3"/>
  <c r="P283" i="3"/>
  <c r="Q283" i="3"/>
  <c r="R283" i="3"/>
  <c r="X283" i="3"/>
  <c r="Y283" i="3"/>
  <c r="Z283" i="3"/>
  <c r="L283" i="3"/>
  <c r="E283" i="3"/>
  <c r="Z100" i="3"/>
  <c r="Y100" i="3"/>
  <c r="X100" i="3"/>
  <c r="O100" i="3"/>
  <c r="N100" i="3"/>
  <c r="M100" i="3"/>
  <c r="L100" i="3"/>
  <c r="D100" i="3"/>
  <c r="AH99" i="3"/>
  <c r="AE99" i="3"/>
  <c r="AH98" i="3"/>
  <c r="AG98" i="3"/>
  <c r="R51" i="3"/>
  <c r="AD281" i="3" l="1"/>
  <c r="AH100" i="3"/>
  <c r="E100" i="3"/>
  <c r="P100" i="3"/>
  <c r="S99" i="3"/>
  <c r="E4" i="3"/>
  <c r="V99" i="3" l="1"/>
  <c r="AA99" i="3"/>
  <c r="Q100" i="3"/>
  <c r="S100" i="3" s="1"/>
  <c r="S98" i="3"/>
  <c r="R122" i="3"/>
  <c r="V98" i="3" l="1"/>
  <c r="V100" i="3" s="1"/>
  <c r="AB99" i="3"/>
  <c r="AD99" i="3"/>
  <c r="AC99" i="3"/>
  <c r="AA98" i="3"/>
  <c r="Z204" i="3"/>
  <c r="Y204" i="3"/>
  <c r="X204" i="3"/>
  <c r="Q204" i="3"/>
  <c r="P204" i="3"/>
  <c r="O204" i="3"/>
  <c r="N204" i="3"/>
  <c r="M204" i="3"/>
  <c r="L204" i="3"/>
  <c r="E204" i="3"/>
  <c r="D204" i="3"/>
  <c r="AH202" i="3"/>
  <c r="AG202" i="3"/>
  <c r="AF202" i="3"/>
  <c r="AE202" i="3"/>
  <c r="AD202" i="3"/>
  <c r="AB202" i="3"/>
  <c r="V202" i="3"/>
  <c r="S202" i="3"/>
  <c r="AF99" i="3" l="1"/>
  <c r="AG99" i="3"/>
  <c r="AG100" i="3" s="1"/>
  <c r="AD98" i="3"/>
  <c r="AD100" i="3" s="1"/>
  <c r="AC98" i="3"/>
  <c r="AC100" i="3" s="1"/>
  <c r="AA100" i="3"/>
  <c r="AB98" i="3"/>
  <c r="AE98" i="3" s="1"/>
  <c r="AE100" i="3" s="1"/>
  <c r="S204" i="3"/>
  <c r="AA202" i="3"/>
  <c r="R268" i="3"/>
  <c r="R234" i="3"/>
  <c r="AH203" i="3"/>
  <c r="AH204" i="3" s="1"/>
  <c r="AG203" i="3"/>
  <c r="AG204" i="3" s="1"/>
  <c r="AF203" i="3"/>
  <c r="AF204" i="3" s="1"/>
  <c r="AE203" i="3"/>
  <c r="AE204" i="3" s="1"/>
  <c r="AB203" i="3"/>
  <c r="AB204" i="3" s="1"/>
  <c r="S203" i="3"/>
  <c r="AB100" i="3" l="1"/>
  <c r="AF98" i="3"/>
  <c r="AF100" i="3" s="1"/>
  <c r="AC202" i="3"/>
  <c r="V203" i="3"/>
  <c r="V204" i="3" s="1"/>
  <c r="AA203" i="3"/>
  <c r="AA204" i="3" s="1"/>
  <c r="AC203" i="3"/>
  <c r="AC204" i="3" l="1"/>
  <c r="AD203" i="3"/>
  <c r="AD204" i="3" s="1"/>
  <c r="Z242" i="3"/>
  <c r="Y242" i="3"/>
  <c r="X242" i="3"/>
  <c r="Q242" i="3"/>
  <c r="P242" i="3"/>
  <c r="O242" i="3"/>
  <c r="N242" i="3"/>
  <c r="M242" i="3"/>
  <c r="L242" i="3"/>
  <c r="E242" i="3"/>
  <c r="D242" i="3"/>
  <c r="AH241" i="3"/>
  <c r="AE241" i="3"/>
  <c r="S241" i="3"/>
  <c r="AA241" i="3" s="1"/>
  <c r="AB241" i="3" s="1"/>
  <c r="AG241" i="3" s="1"/>
  <c r="AH240" i="3"/>
  <c r="AF240" i="3"/>
  <c r="AE240" i="3"/>
  <c r="S240" i="3"/>
  <c r="AA240" i="3" s="1"/>
  <c r="AD240" i="3" s="1"/>
  <c r="AB112" i="3"/>
  <c r="AD112" i="3"/>
  <c r="AE112" i="3"/>
  <c r="AF112" i="3"/>
  <c r="AG112" i="3"/>
  <c r="AH112" i="3"/>
  <c r="M113" i="3"/>
  <c r="N113" i="3"/>
  <c r="O113" i="3"/>
  <c r="P113" i="3"/>
  <c r="Q113" i="3"/>
  <c r="R113" i="3"/>
  <c r="T113" i="3"/>
  <c r="U113" i="3"/>
  <c r="V113" i="3"/>
  <c r="X113" i="3"/>
  <c r="Y113" i="3"/>
  <c r="Z113" i="3"/>
  <c r="L113" i="3"/>
  <c r="E113" i="3"/>
  <c r="S112" i="3"/>
  <c r="AA112" i="3" s="1"/>
  <c r="D112" i="3"/>
  <c r="AC103" i="3"/>
  <c r="AD103" i="3"/>
  <c r="AF103" i="3"/>
  <c r="AG103" i="3"/>
  <c r="AH103" i="3"/>
  <c r="AC104" i="3"/>
  <c r="AD104" i="3"/>
  <c r="AE104" i="3"/>
  <c r="AG104" i="3"/>
  <c r="AH104" i="3"/>
  <c r="S103" i="3"/>
  <c r="AA103" i="3" s="1"/>
  <c r="AB103" i="3" s="1"/>
  <c r="AE103" i="3" s="1"/>
  <c r="S104" i="3"/>
  <c r="AA104" i="3" s="1"/>
  <c r="AB104" i="3" s="1"/>
  <c r="AF104" i="3" s="1"/>
  <c r="D103" i="3"/>
  <c r="D104" i="3"/>
  <c r="AH242" i="3" l="1"/>
  <c r="AF241" i="3"/>
  <c r="AF242" i="3" s="1"/>
  <c r="AE242" i="3"/>
  <c r="V240" i="3"/>
  <c r="V242" i="3" s="1"/>
  <c r="AC241" i="3"/>
  <c r="AD241" i="3"/>
  <c r="AD242" i="3" s="1"/>
  <c r="AC240" i="3"/>
  <c r="S242" i="3"/>
  <c r="AA242" i="3"/>
  <c r="AB240" i="3"/>
  <c r="AC112" i="3"/>
  <c r="R226" i="3"/>
  <c r="AC242" i="3" l="1"/>
  <c r="AG240" i="3"/>
  <c r="AG242" i="3" s="1"/>
  <c r="AB242" i="3"/>
  <c r="Z315" i="3"/>
  <c r="Y315" i="3"/>
  <c r="X315" i="3"/>
  <c r="Q315" i="3"/>
  <c r="P315" i="3"/>
  <c r="O315" i="3"/>
  <c r="N315" i="3"/>
  <c r="M315" i="3"/>
  <c r="L315" i="3"/>
  <c r="E315" i="3"/>
  <c r="D315" i="3"/>
  <c r="AH314" i="3"/>
  <c r="AG314" i="3"/>
  <c r="AE314" i="3"/>
  <c r="S314" i="3"/>
  <c r="D314" i="3"/>
  <c r="AH313" i="3"/>
  <c r="AG313" i="3"/>
  <c r="AF313" i="3"/>
  <c r="AE313" i="3"/>
  <c r="AB313" i="3"/>
  <c r="S313" i="3"/>
  <c r="AA313" i="3" s="1"/>
  <c r="AD313" i="3" s="1"/>
  <c r="D313" i="3"/>
  <c r="Z312" i="3"/>
  <c r="Y312" i="3"/>
  <c r="X312" i="3"/>
  <c r="P312" i="3"/>
  <c r="O312" i="3"/>
  <c r="N312" i="3"/>
  <c r="M312" i="3"/>
  <c r="L312" i="3"/>
  <c r="E312" i="3"/>
  <c r="D312" i="3"/>
  <c r="AH311" i="3"/>
  <c r="AH312" i="3" s="1"/>
  <c r="AG311" i="3"/>
  <c r="AG312" i="3" s="1"/>
  <c r="AF311" i="3"/>
  <c r="AF312" i="3" s="1"/>
  <c r="AD311" i="3"/>
  <c r="AD312" i="3" s="1"/>
  <c r="AC311" i="3"/>
  <c r="AC312" i="3" s="1"/>
  <c r="V311" i="3"/>
  <c r="V312" i="3" s="1"/>
  <c r="Q311" i="3"/>
  <c r="S311" i="3" s="1"/>
  <c r="Z301" i="3"/>
  <c r="Y301" i="3"/>
  <c r="X301" i="3"/>
  <c r="Q301" i="3"/>
  <c r="P301" i="3"/>
  <c r="O301" i="3"/>
  <c r="N301" i="3"/>
  <c r="M301" i="3"/>
  <c r="L301" i="3"/>
  <c r="E301" i="3"/>
  <c r="D301" i="3"/>
  <c r="AH300" i="3"/>
  <c r="AH301" i="3" s="1"/>
  <c r="AG300" i="3"/>
  <c r="AG301" i="3" s="1"/>
  <c r="AF300" i="3"/>
  <c r="AF301" i="3" s="1"/>
  <c r="AE300" i="3"/>
  <c r="AE301" i="3" s="1"/>
  <c r="AB300" i="3"/>
  <c r="AB301" i="3" s="1"/>
  <c r="S300" i="3"/>
  <c r="D300" i="3"/>
  <c r="AB192" i="3"/>
  <c r="AD192" i="3"/>
  <c r="AE192" i="3"/>
  <c r="AF192" i="3"/>
  <c r="AG192" i="3"/>
  <c r="AH192" i="3"/>
  <c r="S192" i="3"/>
  <c r="AA192" i="3" s="1"/>
  <c r="AC192" i="3" s="1"/>
  <c r="D192" i="3"/>
  <c r="D193" i="3"/>
  <c r="AB141" i="3"/>
  <c r="AD141" i="3"/>
  <c r="AE141" i="3"/>
  <c r="AF141" i="3"/>
  <c r="AG141" i="3"/>
  <c r="AH141" i="3"/>
  <c r="S141" i="3"/>
  <c r="AA141" i="3" s="1"/>
  <c r="AC141" i="3" s="1"/>
  <c r="D141" i="3"/>
  <c r="R40" i="3"/>
  <c r="Z15" i="3"/>
  <c r="Y15" i="3"/>
  <c r="X15" i="3"/>
  <c r="R15" i="3"/>
  <c r="Q15" i="3"/>
  <c r="P15" i="3"/>
  <c r="O15" i="3"/>
  <c r="N15" i="3"/>
  <c r="M15" i="3"/>
  <c r="L15" i="3"/>
  <c r="E15" i="3"/>
  <c r="AH14" i="3"/>
  <c r="AG14" i="3"/>
  <c r="AF14" i="3"/>
  <c r="AD14" i="3"/>
  <c r="AC14" i="3"/>
  <c r="S14" i="3"/>
  <c r="AA14" i="3" s="1"/>
  <c r="AB14" i="3" s="1"/>
  <c r="AE14" i="3" s="1"/>
  <c r="D14" i="3"/>
  <c r="AH13" i="3"/>
  <c r="AG13" i="3"/>
  <c r="AF13" i="3"/>
  <c r="AE13" i="3"/>
  <c r="AB13" i="3"/>
  <c r="V13" i="3"/>
  <c r="V15" i="3" s="1"/>
  <c r="S13" i="3"/>
  <c r="AA13" i="3" s="1"/>
  <c r="AD13" i="3" s="1"/>
  <c r="D13" i="3"/>
  <c r="Q312" i="3" l="1"/>
  <c r="S312" i="3" s="1"/>
  <c r="V313" i="3"/>
  <c r="AE315" i="3"/>
  <c r="AG315" i="3"/>
  <c r="AH315" i="3"/>
  <c r="S315" i="3"/>
  <c r="V314" i="3"/>
  <c r="AA314" i="3"/>
  <c r="AA315" i="3" s="1"/>
  <c r="AC313" i="3"/>
  <c r="AA311" i="3"/>
  <c r="V300" i="3"/>
  <c r="V301" i="3" s="1"/>
  <c r="S301" i="3"/>
  <c r="AA300" i="3"/>
  <c r="AA301" i="3" s="1"/>
  <c r="AB15" i="3"/>
  <c r="AE15" i="3"/>
  <c r="AG15" i="3"/>
  <c r="AF15" i="3"/>
  <c r="AH15" i="3"/>
  <c r="AD15" i="3"/>
  <c r="AC13" i="3"/>
  <c r="AC15" i="3" s="1"/>
  <c r="AA15" i="3"/>
  <c r="S15" i="3"/>
  <c r="AB314" i="3" l="1"/>
  <c r="AD314" i="3"/>
  <c r="AD315" i="3" s="1"/>
  <c r="AC314" i="3"/>
  <c r="AC315" i="3" s="1"/>
  <c r="V315" i="3"/>
  <c r="AA312" i="3"/>
  <c r="AB311" i="3"/>
  <c r="AC300" i="3"/>
  <c r="AC301" i="3" s="1"/>
  <c r="AD300" i="3"/>
  <c r="AD301" i="3" s="1"/>
  <c r="AD108" i="3"/>
  <c r="AF108" i="3"/>
  <c r="AG108" i="3"/>
  <c r="AH108" i="3"/>
  <c r="S108" i="3"/>
  <c r="AA108" i="3" s="1"/>
  <c r="AB108" i="3" s="1"/>
  <c r="AE108" i="3" s="1"/>
  <c r="D108" i="3"/>
  <c r="AB11" i="3"/>
  <c r="AD11" i="3"/>
  <c r="AE11" i="3"/>
  <c r="AF11" i="3"/>
  <c r="AG11" i="3"/>
  <c r="AH11" i="3"/>
  <c r="S11" i="3"/>
  <c r="M12" i="3"/>
  <c r="N12" i="3"/>
  <c r="O12" i="3"/>
  <c r="P12" i="3"/>
  <c r="Q12" i="3"/>
  <c r="R12" i="3"/>
  <c r="T12" i="3"/>
  <c r="U12" i="3"/>
  <c r="V12" i="3"/>
  <c r="X12" i="3"/>
  <c r="Y12" i="3"/>
  <c r="Z12" i="3"/>
  <c r="L12" i="3"/>
  <c r="E12" i="3"/>
  <c r="D11" i="3"/>
  <c r="AC108" i="3" l="1"/>
  <c r="AF314" i="3"/>
  <c r="AF315" i="3" s="1"/>
  <c r="AB315" i="3"/>
  <c r="AB312" i="3"/>
  <c r="AE311" i="3"/>
  <c r="AE312" i="3" s="1"/>
  <c r="AA11" i="3"/>
  <c r="C4" i="7"/>
  <c r="F12" i="5"/>
  <c r="F11" i="5"/>
  <c r="F10" i="5"/>
  <c r="F9" i="5"/>
  <c r="F13" i="5" s="1"/>
  <c r="F8" i="5"/>
  <c r="F7" i="5"/>
  <c r="F6" i="5"/>
  <c r="F5" i="5"/>
  <c r="F4" i="5"/>
  <c r="F3" i="5"/>
  <c r="F2" i="5"/>
  <c r="Z11" i="6"/>
  <c r="Z10" i="6"/>
  <c r="AF8" i="6"/>
  <c r="AE8" i="6"/>
  <c r="AD8" i="6"/>
  <c r="AC8" i="6"/>
  <c r="AB8" i="6"/>
  <c r="AA8" i="6"/>
  <c r="Z8" i="6"/>
  <c r="Y8" i="6"/>
  <c r="X8" i="6"/>
  <c r="W8" i="6"/>
  <c r="V8" i="6"/>
  <c r="U8" i="6"/>
  <c r="S8" i="6"/>
  <c r="R8" i="6"/>
  <c r="Q8" i="6"/>
  <c r="P8" i="6"/>
  <c r="O8" i="6"/>
  <c r="N8" i="6"/>
  <c r="M8" i="6"/>
  <c r="L8" i="6"/>
  <c r="AF7" i="6"/>
  <c r="AE7" i="6"/>
  <c r="AD7" i="6"/>
  <c r="AC7" i="6"/>
  <c r="AB7" i="6"/>
  <c r="AA7" i="6"/>
  <c r="Z7" i="6"/>
  <c r="Y7" i="6"/>
  <c r="X7" i="6"/>
  <c r="W7" i="6"/>
  <c r="V7" i="6"/>
  <c r="S7" i="6"/>
  <c r="R7" i="6"/>
  <c r="Q7" i="6"/>
  <c r="P7" i="6"/>
  <c r="O7" i="6"/>
  <c r="N7" i="6"/>
  <c r="M7" i="6"/>
  <c r="L7" i="6"/>
  <c r="E7" i="6"/>
  <c r="AF5" i="6"/>
  <c r="AE5" i="6"/>
  <c r="AD5" i="6"/>
  <c r="AC5" i="6"/>
  <c r="AB5" i="6"/>
  <c r="AA5" i="6"/>
  <c r="Z5" i="6"/>
  <c r="Y5" i="6"/>
  <c r="X5" i="6"/>
  <c r="W5" i="6"/>
  <c r="V5" i="6"/>
  <c r="S5" i="6"/>
  <c r="R5" i="6"/>
  <c r="Q5" i="6"/>
  <c r="P5" i="6"/>
  <c r="O5" i="6"/>
  <c r="N5" i="6"/>
  <c r="M5" i="6"/>
  <c r="L5" i="6"/>
  <c r="E5" i="6"/>
  <c r="D3" i="8"/>
  <c r="O317" i="3"/>
  <c r="Z310" i="3"/>
  <c r="Y310" i="3"/>
  <c r="X310" i="3"/>
  <c r="Q310" i="3"/>
  <c r="P310" i="3"/>
  <c r="O310" i="3"/>
  <c r="N310" i="3"/>
  <c r="M310" i="3"/>
  <c r="L310" i="3"/>
  <c r="E310" i="3"/>
  <c r="D310" i="3"/>
  <c r="AH309" i="3"/>
  <c r="AH310" i="3" s="1"/>
  <c r="AG309" i="3"/>
  <c r="AG310" i="3" s="1"/>
  <c r="AF309" i="3"/>
  <c r="AF310" i="3" s="1"/>
  <c r="AD309" i="3"/>
  <c r="AD310" i="3" s="1"/>
  <c r="V309" i="3"/>
  <c r="V310" i="3" s="1"/>
  <c r="S309" i="3"/>
  <c r="AA309" i="3" s="1"/>
  <c r="AA310" i="3" s="1"/>
  <c r="D309" i="3"/>
  <c r="Z308" i="3"/>
  <c r="Y308" i="3"/>
  <c r="X308" i="3"/>
  <c r="Q308" i="3"/>
  <c r="P308" i="3"/>
  <c r="O308" i="3"/>
  <c r="N308" i="3"/>
  <c r="M308" i="3"/>
  <c r="L308" i="3"/>
  <c r="E308" i="3"/>
  <c r="D308" i="3"/>
  <c r="AH307" i="3"/>
  <c r="AG307" i="3"/>
  <c r="AE307" i="3"/>
  <c r="AD307" i="3"/>
  <c r="AC307" i="3"/>
  <c r="V307" i="3"/>
  <c r="S307" i="3"/>
  <c r="D307" i="3"/>
  <c r="AH306" i="3"/>
  <c r="AG306" i="3"/>
  <c r="AF306" i="3"/>
  <c r="AE306" i="3"/>
  <c r="AD306" i="3"/>
  <c r="AB306" i="3"/>
  <c r="V306" i="3"/>
  <c r="S306" i="3"/>
  <c r="D306" i="3"/>
  <c r="Z305" i="3"/>
  <c r="Y305" i="3"/>
  <c r="X305" i="3"/>
  <c r="Q305" i="3"/>
  <c r="P305" i="3"/>
  <c r="O305" i="3"/>
  <c r="N305" i="3"/>
  <c r="M305" i="3"/>
  <c r="L305" i="3"/>
  <c r="E305" i="3"/>
  <c r="D305" i="3"/>
  <c r="AH304" i="3"/>
  <c r="AH305" i="3" s="1"/>
  <c r="AG304" i="3"/>
  <c r="AG305" i="3" s="1"/>
  <c r="AF304" i="3"/>
  <c r="AF305" i="3" s="1"/>
  <c r="AE304" i="3"/>
  <c r="AE305" i="3" s="1"/>
  <c r="AD304" i="3"/>
  <c r="AD305" i="3" s="1"/>
  <c r="AB304" i="3"/>
  <c r="AB305" i="3" s="1"/>
  <c r="V304" i="3"/>
  <c r="V305" i="3" s="1"/>
  <c r="S304" i="3"/>
  <c r="D304" i="3"/>
  <c r="Z303" i="3"/>
  <c r="Y303" i="3"/>
  <c r="X303" i="3"/>
  <c r="Q303" i="3"/>
  <c r="P303" i="3"/>
  <c r="O303" i="3"/>
  <c r="N303" i="3"/>
  <c r="M303" i="3"/>
  <c r="L303" i="3"/>
  <c r="E303" i="3"/>
  <c r="D303" i="3"/>
  <c r="AH302" i="3"/>
  <c r="AH303" i="3" s="1"/>
  <c r="AG302" i="3"/>
  <c r="AG303" i="3" s="1"/>
  <c r="AF302" i="3"/>
  <c r="AF303" i="3" s="1"/>
  <c r="AE302" i="3"/>
  <c r="AE303" i="3" s="1"/>
  <c r="AD302" i="3"/>
  <c r="AD303" i="3" s="1"/>
  <c r="AB302" i="3"/>
  <c r="AB303" i="3" s="1"/>
  <c r="V302" i="3"/>
  <c r="V303" i="3" s="1"/>
  <c r="S302" i="3"/>
  <c r="D302" i="3"/>
  <c r="Z299" i="3"/>
  <c r="Y299" i="3"/>
  <c r="X299" i="3"/>
  <c r="V299" i="3"/>
  <c r="U299" i="3"/>
  <c r="T299" i="3"/>
  <c r="Q299" i="3"/>
  <c r="P299" i="3"/>
  <c r="O299" i="3"/>
  <c r="N299" i="3"/>
  <c r="M299" i="3"/>
  <c r="L299" i="3"/>
  <c r="E299" i="3"/>
  <c r="D299" i="3"/>
  <c r="AH298" i="3"/>
  <c r="AG298" i="3"/>
  <c r="AE298" i="3"/>
  <c r="AD298" i="3"/>
  <c r="AC298" i="3"/>
  <c r="S298" i="3"/>
  <c r="AA298" i="3" s="1"/>
  <c r="AB298" i="3" s="1"/>
  <c r="AF298" i="3" s="1"/>
  <c r="D298" i="3"/>
  <c r="AH297" i="3"/>
  <c r="AG297" i="3"/>
  <c r="AF297" i="3"/>
  <c r="AE297" i="3"/>
  <c r="AD297" i="3"/>
  <c r="AB297" i="3"/>
  <c r="S297" i="3"/>
  <c r="AA297" i="3" s="1"/>
  <c r="D297" i="3"/>
  <c r="Z296" i="3"/>
  <c r="Y296" i="3"/>
  <c r="X296" i="3"/>
  <c r="V296" i="3"/>
  <c r="U296" i="3"/>
  <c r="T296" i="3"/>
  <c r="Q296" i="3"/>
  <c r="P296" i="3"/>
  <c r="O296" i="3"/>
  <c r="N296" i="3"/>
  <c r="M296" i="3"/>
  <c r="L296" i="3"/>
  <c r="E296" i="3"/>
  <c r="D296" i="3"/>
  <c r="AH295" i="3"/>
  <c r="AG295" i="3"/>
  <c r="AF295" i="3"/>
  <c r="AE295" i="3"/>
  <c r="AD295" i="3"/>
  <c r="AB295" i="3"/>
  <c r="S295" i="3"/>
  <c r="AA295" i="3" s="1"/>
  <c r="AC295" i="3" s="1"/>
  <c r="D295" i="3"/>
  <c r="AH294" i="3"/>
  <c r="AG294" i="3"/>
  <c r="AF294" i="3"/>
  <c r="AE294" i="3"/>
  <c r="AD294" i="3"/>
  <c r="AB294" i="3"/>
  <c r="S294" i="3"/>
  <c r="AA294" i="3" s="1"/>
  <c r="AC294" i="3" s="1"/>
  <c r="D294" i="3"/>
  <c r="AH293" i="3"/>
  <c r="AG293" i="3"/>
  <c r="AF293" i="3"/>
  <c r="AE293" i="3"/>
  <c r="AD293" i="3"/>
  <c r="AB293" i="3"/>
  <c r="S293" i="3"/>
  <c r="AA293" i="3" s="1"/>
  <c r="AC293" i="3" s="1"/>
  <c r="D293" i="3"/>
  <c r="AH292" i="3"/>
  <c r="AG292" i="3"/>
  <c r="AF292" i="3"/>
  <c r="AE292" i="3"/>
  <c r="AD292" i="3"/>
  <c r="AB292" i="3"/>
  <c r="S292" i="3"/>
  <c r="AA292" i="3" s="1"/>
  <c r="AC292" i="3" s="1"/>
  <c r="D292" i="3"/>
  <c r="Z291" i="3"/>
  <c r="Y291" i="3"/>
  <c r="X291" i="3"/>
  <c r="Q291" i="3"/>
  <c r="P291" i="3"/>
  <c r="O291" i="3"/>
  <c r="N291" i="3"/>
  <c r="M291" i="3"/>
  <c r="L291" i="3"/>
  <c r="E291" i="3"/>
  <c r="D291" i="3"/>
  <c r="AH290" i="3"/>
  <c r="AH291" i="3" s="1"/>
  <c r="AG290" i="3"/>
  <c r="AG291" i="3" s="1"/>
  <c r="AF290" i="3"/>
  <c r="AF291" i="3" s="1"/>
  <c r="AD290" i="3"/>
  <c r="AD291" i="3" s="1"/>
  <c r="AC290" i="3"/>
  <c r="AC291" i="3" s="1"/>
  <c r="V290" i="3"/>
  <c r="V291" i="3" s="1"/>
  <c r="S290" i="3"/>
  <c r="D290" i="3"/>
  <c r="Z289" i="3"/>
  <c r="Y289" i="3"/>
  <c r="X289" i="3"/>
  <c r="Q289" i="3"/>
  <c r="P289" i="3"/>
  <c r="O289" i="3"/>
  <c r="N289" i="3"/>
  <c r="M289" i="3"/>
  <c r="L289" i="3"/>
  <c r="E289" i="3"/>
  <c r="D289" i="3"/>
  <c r="AH288" i="3"/>
  <c r="AH289" i="3" s="1"/>
  <c r="AG288" i="3"/>
  <c r="AG289" i="3" s="1"/>
  <c r="AF288" i="3"/>
  <c r="AF289" i="3" s="1"/>
  <c r="AE288" i="3"/>
  <c r="AE289" i="3" s="1"/>
  <c r="AD288" i="3"/>
  <c r="AD289" i="3" s="1"/>
  <c r="AB288" i="3"/>
  <c r="AB289" i="3" s="1"/>
  <c r="V288" i="3"/>
  <c r="V289" i="3" s="1"/>
  <c r="S288" i="3"/>
  <c r="D288" i="3"/>
  <c r="Z287" i="3"/>
  <c r="Y287" i="3"/>
  <c r="X287" i="3"/>
  <c r="Q287" i="3"/>
  <c r="P287" i="3"/>
  <c r="O287" i="3"/>
  <c r="N287" i="3"/>
  <c r="M287" i="3"/>
  <c r="L287" i="3"/>
  <c r="E287" i="3"/>
  <c r="D287" i="3"/>
  <c r="AH286" i="3"/>
  <c r="AH287" i="3" s="1"/>
  <c r="AG286" i="3"/>
  <c r="AG287" i="3" s="1"/>
  <c r="AF286" i="3"/>
  <c r="AF287" i="3" s="1"/>
  <c r="AE286" i="3"/>
  <c r="AE287" i="3" s="1"/>
  <c r="AD286" i="3"/>
  <c r="AD287" i="3" s="1"/>
  <c r="AB286" i="3"/>
  <c r="AB287" i="3" s="1"/>
  <c r="V286" i="3"/>
  <c r="V287" i="3" s="1"/>
  <c r="S286" i="3"/>
  <c r="AA286" i="3" s="1"/>
  <c r="AA287" i="3" s="1"/>
  <c r="D286" i="3"/>
  <c r="Z285" i="3"/>
  <c r="Y285" i="3"/>
  <c r="X285" i="3"/>
  <c r="Q285" i="3"/>
  <c r="P285" i="3"/>
  <c r="O285" i="3"/>
  <c r="N285" i="3"/>
  <c r="M285" i="3"/>
  <c r="L285" i="3"/>
  <c r="E285" i="3"/>
  <c r="D285" i="3"/>
  <c r="AH284" i="3"/>
  <c r="AH285" i="3" s="1"/>
  <c r="AG284" i="3"/>
  <c r="AG285" i="3" s="1"/>
  <c r="AF284" i="3"/>
  <c r="AF285" i="3" s="1"/>
  <c r="AE284" i="3"/>
  <c r="AE285" i="3" s="1"/>
  <c r="AD284" i="3"/>
  <c r="AD285" i="3" s="1"/>
  <c r="AB284" i="3"/>
  <c r="AB285" i="3" s="1"/>
  <c r="V284" i="3"/>
  <c r="V285" i="3" s="1"/>
  <c r="S284" i="3"/>
  <c r="D284" i="3"/>
  <c r="D283" i="3"/>
  <c r="AH280" i="3"/>
  <c r="AG280" i="3"/>
  <c r="AF280" i="3"/>
  <c r="AE280" i="3"/>
  <c r="AD280" i="3"/>
  <c r="AB280" i="3"/>
  <c r="S280" i="3"/>
  <c r="AA280" i="3" s="1"/>
  <c r="AC280" i="3" s="1"/>
  <c r="D280" i="3"/>
  <c r="AH279" i="3"/>
  <c r="AH283" i="3" s="1"/>
  <c r="AG279" i="3"/>
  <c r="AG283" i="3" s="1"/>
  <c r="AF279" i="3"/>
  <c r="AF283" i="3" s="1"/>
  <c r="AD279" i="3"/>
  <c r="AD283" i="3" s="1"/>
  <c r="V279" i="3"/>
  <c r="V283" i="3" s="1"/>
  <c r="S279" i="3"/>
  <c r="D279" i="3"/>
  <c r="Z278" i="3"/>
  <c r="Y278" i="3"/>
  <c r="X278" i="3"/>
  <c r="Q278" i="3"/>
  <c r="P278" i="3"/>
  <c r="O278" i="3"/>
  <c r="N278" i="3"/>
  <c r="M278" i="3"/>
  <c r="L278" i="3"/>
  <c r="E278" i="3"/>
  <c r="D278" i="3"/>
  <c r="AH277" i="3"/>
  <c r="AF277" i="3"/>
  <c r="AE277" i="3"/>
  <c r="AD277" i="3"/>
  <c r="AC277" i="3"/>
  <c r="S277" i="3"/>
  <c r="AA277" i="3" s="1"/>
  <c r="AB277" i="3" s="1"/>
  <c r="AG277" i="3" s="1"/>
  <c r="D277" i="3"/>
  <c r="AH276" i="3"/>
  <c r="AF276" i="3"/>
  <c r="AE276" i="3"/>
  <c r="AD276" i="3"/>
  <c r="AC276" i="3"/>
  <c r="V276" i="3"/>
  <c r="V278" i="3" s="1"/>
  <c r="S276" i="3"/>
  <c r="AA276" i="3" s="1"/>
  <c r="AB276" i="3" s="1"/>
  <c r="AG276" i="3" s="1"/>
  <c r="D276" i="3"/>
  <c r="Z275" i="3"/>
  <c r="Y275" i="3"/>
  <c r="X275" i="3"/>
  <c r="Q275" i="3"/>
  <c r="P275" i="3"/>
  <c r="O275" i="3"/>
  <c r="N275" i="3"/>
  <c r="M275" i="3"/>
  <c r="L275" i="3"/>
  <c r="E275" i="3"/>
  <c r="D275" i="3"/>
  <c r="AH274" i="3"/>
  <c r="AH275" i="3" s="1"/>
  <c r="AG274" i="3"/>
  <c r="AG275" i="3" s="1"/>
  <c r="AF274" i="3"/>
  <c r="AF275" i="3" s="1"/>
  <c r="AE274" i="3"/>
  <c r="AE275" i="3" s="1"/>
  <c r="AD274" i="3"/>
  <c r="AD275" i="3" s="1"/>
  <c r="AB274" i="3"/>
  <c r="AB275" i="3" s="1"/>
  <c r="V274" i="3"/>
  <c r="V275" i="3" s="1"/>
  <c r="S274" i="3"/>
  <c r="E274" i="3"/>
  <c r="D274" i="3"/>
  <c r="Z273" i="3"/>
  <c r="Y273" i="3"/>
  <c r="X273" i="3"/>
  <c r="O273" i="3"/>
  <c r="N273" i="3"/>
  <c r="M273" i="3"/>
  <c r="L273" i="3"/>
  <c r="E273" i="3"/>
  <c r="D273" i="3"/>
  <c r="AH272" i="3"/>
  <c r="AG272" i="3"/>
  <c r="AF272" i="3"/>
  <c r="AE272" i="3"/>
  <c r="AD272" i="3"/>
  <c r="AB272" i="3"/>
  <c r="S272" i="3"/>
  <c r="AA272" i="3" s="1"/>
  <c r="AC272" i="3" s="1"/>
  <c r="E272" i="3"/>
  <c r="D272" i="3"/>
  <c r="AH271" i="3"/>
  <c r="AG271" i="3"/>
  <c r="AF271" i="3"/>
  <c r="AE271" i="3"/>
  <c r="AD271" i="3"/>
  <c r="AB271" i="3"/>
  <c r="S271" i="3"/>
  <c r="AA271" i="3" s="1"/>
  <c r="AC271" i="3" s="1"/>
  <c r="E271" i="3"/>
  <c r="D271" i="3"/>
  <c r="AH270" i="3"/>
  <c r="AG270" i="3"/>
  <c r="AF270" i="3"/>
  <c r="AD270" i="3"/>
  <c r="S270" i="3"/>
  <c r="AA270" i="3" s="1"/>
  <c r="AB270" i="3" s="1"/>
  <c r="AE270" i="3" s="1"/>
  <c r="D270" i="3"/>
  <c r="AH269" i="3"/>
  <c r="AG269" i="3"/>
  <c r="AF269" i="3"/>
  <c r="AD269" i="3"/>
  <c r="AC269" i="3"/>
  <c r="S269" i="3"/>
  <c r="AA269" i="3" s="1"/>
  <c r="AB269" i="3" s="1"/>
  <c r="AE269" i="3" s="1"/>
  <c r="D269" i="3"/>
  <c r="AH268" i="3"/>
  <c r="AG268" i="3"/>
  <c r="AF268" i="3"/>
  <c r="AD268" i="3"/>
  <c r="AC268" i="3"/>
  <c r="V268" i="3"/>
  <c r="V273" i="3" s="1"/>
  <c r="Q268" i="3"/>
  <c r="P268" i="3"/>
  <c r="P273" i="3" s="1"/>
  <c r="E268" i="3"/>
  <c r="D268" i="3"/>
  <c r="Z267" i="3"/>
  <c r="Y267" i="3"/>
  <c r="X267" i="3"/>
  <c r="V267" i="3"/>
  <c r="U267" i="3"/>
  <c r="T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AH266" i="3"/>
  <c r="AH267" i="3" s="1"/>
  <c r="AE266" i="3"/>
  <c r="AE267" i="3" s="1"/>
  <c r="AD266" i="3"/>
  <c r="AD267" i="3" s="1"/>
  <c r="AC266" i="3"/>
  <c r="AC267" i="3" s="1"/>
  <c r="S266" i="3"/>
  <c r="AA266" i="3" s="1"/>
  <c r="AB266" i="3" s="1"/>
  <c r="AG266" i="3" s="1"/>
  <c r="AG267" i="3" s="1"/>
  <c r="D266" i="3"/>
  <c r="Z265" i="3"/>
  <c r="Y265" i="3"/>
  <c r="X265" i="3"/>
  <c r="V265" i="3"/>
  <c r="U265" i="3"/>
  <c r="T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AH264" i="3"/>
  <c r="AH265" i="3" s="1"/>
  <c r="AG264" i="3"/>
  <c r="AG265" i="3" s="1"/>
  <c r="AE264" i="3"/>
  <c r="AE265" i="3" s="1"/>
  <c r="AD264" i="3"/>
  <c r="AD265" i="3" s="1"/>
  <c r="AC264" i="3"/>
  <c r="AC265" i="3" s="1"/>
  <c r="S264" i="3"/>
  <c r="S265" i="3" s="1"/>
  <c r="D264" i="3"/>
  <c r="Z263" i="3"/>
  <c r="Y263" i="3"/>
  <c r="X263" i="3"/>
  <c r="Q263" i="3"/>
  <c r="P263" i="3"/>
  <c r="O263" i="3"/>
  <c r="N263" i="3"/>
  <c r="M263" i="3"/>
  <c r="L263" i="3"/>
  <c r="E263" i="3"/>
  <c r="D263" i="3"/>
  <c r="AH262" i="3"/>
  <c r="AG262" i="3"/>
  <c r="AF262" i="3"/>
  <c r="AE262" i="3"/>
  <c r="AD262" i="3"/>
  <c r="AB262" i="3"/>
  <c r="S262" i="3"/>
  <c r="AA262" i="3" s="1"/>
  <c r="AC262" i="3" s="1"/>
  <c r="D262" i="3"/>
  <c r="AH261" i="3"/>
  <c r="AG261" i="3"/>
  <c r="AF261" i="3"/>
  <c r="AE261" i="3"/>
  <c r="AD261" i="3"/>
  <c r="AB261" i="3"/>
  <c r="V261" i="3"/>
  <c r="V263" i="3" s="1"/>
  <c r="S261" i="3"/>
  <c r="D261" i="3"/>
  <c r="Z260" i="3"/>
  <c r="Y260" i="3"/>
  <c r="X260" i="3"/>
  <c r="O260" i="3"/>
  <c r="N260" i="3"/>
  <c r="M260" i="3"/>
  <c r="L260" i="3"/>
  <c r="E260" i="3"/>
  <c r="D260" i="3"/>
  <c r="AH259" i="3"/>
  <c r="AH260" i="3" s="1"/>
  <c r="AG259" i="3"/>
  <c r="AG260" i="3" s="1"/>
  <c r="AF259" i="3"/>
  <c r="AF260" i="3" s="1"/>
  <c r="AE259" i="3"/>
  <c r="AE260" i="3" s="1"/>
  <c r="AD259" i="3"/>
  <c r="AD260" i="3" s="1"/>
  <c r="AB259" i="3"/>
  <c r="AB260" i="3" s="1"/>
  <c r="V259" i="3"/>
  <c r="V260" i="3" s="1"/>
  <c r="Q259" i="3"/>
  <c r="Q260" i="3" s="1"/>
  <c r="P259" i="3"/>
  <c r="E259" i="3"/>
  <c r="D259" i="3"/>
  <c r="Z258" i="3"/>
  <c r="Y258" i="3"/>
  <c r="X258" i="3"/>
  <c r="Q258" i="3"/>
  <c r="P258" i="3"/>
  <c r="O258" i="3"/>
  <c r="N258" i="3"/>
  <c r="M258" i="3"/>
  <c r="L258" i="3"/>
  <c r="E258" i="3"/>
  <c r="D258" i="3"/>
  <c r="AH257" i="3"/>
  <c r="AH258" i="3" s="1"/>
  <c r="AG257" i="3"/>
  <c r="AG258" i="3" s="1"/>
  <c r="AF257" i="3"/>
  <c r="AF258" i="3" s="1"/>
  <c r="AE257" i="3"/>
  <c r="AE258" i="3" s="1"/>
  <c r="AD257" i="3"/>
  <c r="AD258" i="3" s="1"/>
  <c r="AB257" i="3"/>
  <c r="AB258" i="3" s="1"/>
  <c r="V257" i="3"/>
  <c r="V258" i="3" s="1"/>
  <c r="S257" i="3"/>
  <c r="D257" i="3"/>
  <c r="Z256" i="3"/>
  <c r="Y256" i="3"/>
  <c r="X256" i="3"/>
  <c r="V256" i="3"/>
  <c r="U256" i="3"/>
  <c r="T256" i="3"/>
  <c r="Q256" i="3"/>
  <c r="P256" i="3"/>
  <c r="O256" i="3"/>
  <c r="N256" i="3"/>
  <c r="M256" i="3"/>
  <c r="L256" i="3"/>
  <c r="E256" i="3"/>
  <c r="D256" i="3"/>
  <c r="AH255" i="3"/>
  <c r="AH256" i="3" s="1"/>
  <c r="AG255" i="3"/>
  <c r="AG256" i="3" s="1"/>
  <c r="AF255" i="3"/>
  <c r="AF256" i="3" s="1"/>
  <c r="AD255" i="3"/>
  <c r="AD256" i="3" s="1"/>
  <c r="AC255" i="3"/>
  <c r="AC256" i="3" s="1"/>
  <c r="S255" i="3"/>
  <c r="AA255" i="3" s="1"/>
  <c r="AB255" i="3" s="1"/>
  <c r="AE255" i="3" s="1"/>
  <c r="AE256" i="3" s="1"/>
  <c r="D255" i="3"/>
  <c r="Z254" i="3"/>
  <c r="Y254" i="3"/>
  <c r="X254" i="3"/>
  <c r="O254" i="3"/>
  <c r="N254" i="3"/>
  <c r="M254" i="3"/>
  <c r="L254" i="3"/>
  <c r="E254" i="3"/>
  <c r="D254" i="3"/>
  <c r="AH253" i="3"/>
  <c r="AG253" i="3"/>
  <c r="AF253" i="3"/>
  <c r="AE253" i="3"/>
  <c r="AD253" i="3"/>
  <c r="AB253" i="3"/>
  <c r="V253" i="3"/>
  <c r="Q253" i="3"/>
  <c r="P253" i="3"/>
  <c r="E253" i="3"/>
  <c r="D253" i="3"/>
  <c r="AH252" i="3"/>
  <c r="AG252" i="3"/>
  <c r="AF252" i="3"/>
  <c r="AE252" i="3"/>
  <c r="AD252" i="3"/>
  <c r="AB252" i="3"/>
  <c r="E252" i="3"/>
  <c r="D252" i="3"/>
  <c r="AH251" i="3"/>
  <c r="AG251" i="3"/>
  <c r="AF251" i="3"/>
  <c r="AE251" i="3"/>
  <c r="AD251" i="3"/>
  <c r="AB251" i="3"/>
  <c r="V251" i="3"/>
  <c r="Q251" i="3"/>
  <c r="P251" i="3"/>
  <c r="E251" i="3"/>
  <c r="D251" i="3"/>
  <c r="AH250" i="3"/>
  <c r="AG250" i="3"/>
  <c r="AF250" i="3"/>
  <c r="AE250" i="3"/>
  <c r="AD250" i="3"/>
  <c r="AB250" i="3"/>
  <c r="V250" i="3"/>
  <c r="Q250" i="3"/>
  <c r="P250" i="3"/>
  <c r="E250" i="3"/>
  <c r="D250" i="3"/>
  <c r="AH249" i="3"/>
  <c r="AG249" i="3"/>
  <c r="AE249" i="3"/>
  <c r="AD249" i="3"/>
  <c r="AC249" i="3"/>
  <c r="Q249" i="3"/>
  <c r="P249" i="3"/>
  <c r="D249" i="3"/>
  <c r="AH248" i="3"/>
  <c r="AG248" i="3"/>
  <c r="AE248" i="3"/>
  <c r="AD248" i="3"/>
  <c r="AC248" i="3"/>
  <c r="Q248" i="3"/>
  <c r="P248" i="3"/>
  <c r="D248" i="3"/>
  <c r="AH247" i="3"/>
  <c r="AG247" i="3"/>
  <c r="AE247" i="3"/>
  <c r="AD247" i="3"/>
  <c r="AC247" i="3"/>
  <c r="V247" i="3"/>
  <c r="Q247" i="3"/>
  <c r="P247" i="3"/>
  <c r="D247" i="3"/>
  <c r="AH246" i="3"/>
  <c r="AG246" i="3"/>
  <c r="AE246" i="3"/>
  <c r="AD246" i="3"/>
  <c r="AC246" i="3"/>
  <c r="Q246" i="3"/>
  <c r="P246" i="3"/>
  <c r="D246" i="3"/>
  <c r="AH245" i="3"/>
  <c r="AG245" i="3"/>
  <c r="AE245" i="3"/>
  <c r="AD245" i="3"/>
  <c r="AC245" i="3"/>
  <c r="Q245" i="3"/>
  <c r="P245" i="3"/>
  <c r="D245" i="3"/>
  <c r="Z244" i="3"/>
  <c r="Y244" i="3"/>
  <c r="X244" i="3"/>
  <c r="V244" i="3"/>
  <c r="U244" i="3"/>
  <c r="Q244" i="3"/>
  <c r="P244" i="3"/>
  <c r="O244" i="3"/>
  <c r="N244" i="3"/>
  <c r="M244" i="3"/>
  <c r="L244" i="3"/>
  <c r="E244" i="3"/>
  <c r="D244" i="3"/>
  <c r="AH243" i="3"/>
  <c r="AH244" i="3" s="1"/>
  <c r="AG243" i="3"/>
  <c r="AG244" i="3" s="1"/>
  <c r="AF243" i="3"/>
  <c r="AF244" i="3" s="1"/>
  <c r="AD243" i="3"/>
  <c r="AD244" i="3" s="1"/>
  <c r="V243" i="3"/>
  <c r="S243" i="3"/>
  <c r="D243" i="3"/>
  <c r="Z239" i="3"/>
  <c r="Y239" i="3"/>
  <c r="X239" i="3"/>
  <c r="O239" i="3"/>
  <c r="N239" i="3"/>
  <c r="M239" i="3"/>
  <c r="L239" i="3"/>
  <c r="E239" i="3"/>
  <c r="D239" i="3"/>
  <c r="AH238" i="3"/>
  <c r="AH239" i="3" s="1"/>
  <c r="AG238" i="3"/>
  <c r="AG239" i="3" s="1"/>
  <c r="AF238" i="3"/>
  <c r="AF239" i="3" s="1"/>
  <c r="AD238" i="3"/>
  <c r="AD239" i="3" s="1"/>
  <c r="V238" i="3"/>
  <c r="V239" i="3" s="1"/>
  <c r="Q238" i="3"/>
  <c r="Q239" i="3" s="1"/>
  <c r="P238" i="3"/>
  <c r="P239" i="3" s="1"/>
  <c r="E238" i="3"/>
  <c r="D238" i="3"/>
  <c r="Z237" i="3"/>
  <c r="Y237" i="3"/>
  <c r="X237" i="3"/>
  <c r="V237" i="3"/>
  <c r="U237" i="3"/>
  <c r="T237" i="3"/>
  <c r="Q237" i="3"/>
  <c r="P237" i="3"/>
  <c r="O237" i="3"/>
  <c r="N237" i="3"/>
  <c r="M237" i="3"/>
  <c r="L237" i="3"/>
  <c r="E237" i="3"/>
  <c r="D237" i="3"/>
  <c r="AH236" i="3"/>
  <c r="AH237" i="3" s="1"/>
  <c r="AG236" i="3"/>
  <c r="AG237" i="3" s="1"/>
  <c r="AE236" i="3"/>
  <c r="AE237" i="3" s="1"/>
  <c r="AD236" i="3"/>
  <c r="AD237" i="3" s="1"/>
  <c r="AC236" i="3"/>
  <c r="AC237" i="3" s="1"/>
  <c r="S236" i="3"/>
  <c r="AA236" i="3" s="1"/>
  <c r="E236" i="3"/>
  <c r="D236" i="3"/>
  <c r="Z235" i="3"/>
  <c r="Y235" i="3"/>
  <c r="X235" i="3"/>
  <c r="V235" i="3"/>
  <c r="U235" i="3"/>
  <c r="T235" i="3"/>
  <c r="O235" i="3"/>
  <c r="N235" i="3"/>
  <c r="M235" i="3"/>
  <c r="L235" i="3"/>
  <c r="E235" i="3"/>
  <c r="D235" i="3"/>
  <c r="AH234" i="3"/>
  <c r="AH235" i="3" s="1"/>
  <c r="AG234" i="3"/>
  <c r="AG235" i="3" s="1"/>
  <c r="AF234" i="3"/>
  <c r="AF235" i="3" s="1"/>
  <c r="AD234" i="3"/>
  <c r="AD235" i="3" s="1"/>
  <c r="Q234" i="3"/>
  <c r="Q235" i="3" s="1"/>
  <c r="P234" i="3"/>
  <c r="P235" i="3" s="1"/>
  <c r="E234" i="3"/>
  <c r="D234" i="3"/>
  <c r="Z233" i="3"/>
  <c r="Y233" i="3"/>
  <c r="X233" i="3"/>
  <c r="V233" i="3"/>
  <c r="U233" i="3"/>
  <c r="T233" i="3"/>
  <c r="Q233" i="3"/>
  <c r="P233" i="3"/>
  <c r="O233" i="3"/>
  <c r="N233" i="3"/>
  <c r="M233" i="3"/>
  <c r="L233" i="3"/>
  <c r="E233" i="3"/>
  <c r="D233" i="3"/>
  <c r="AH232" i="3"/>
  <c r="AG232" i="3"/>
  <c r="AF232" i="3"/>
  <c r="AE232" i="3"/>
  <c r="AD232" i="3"/>
  <c r="AB232" i="3"/>
  <c r="S232" i="3"/>
  <c r="AA232" i="3" s="1"/>
  <c r="AC232" i="3" s="1"/>
  <c r="D232" i="3"/>
  <c r="AH231" i="3"/>
  <c r="AG231" i="3"/>
  <c r="AF231" i="3"/>
  <c r="AD231" i="3"/>
  <c r="S231" i="3"/>
  <c r="AA231" i="3" s="1"/>
  <c r="AB231" i="3" s="1"/>
  <c r="AE231" i="3" s="1"/>
  <c r="D231" i="3"/>
  <c r="AH230" i="3"/>
  <c r="AG230" i="3"/>
  <c r="AF230" i="3"/>
  <c r="AE230" i="3"/>
  <c r="AD230" i="3"/>
  <c r="AB230" i="3"/>
  <c r="S230" i="3"/>
  <c r="AA230" i="3" s="1"/>
  <c r="AC230" i="3" s="1"/>
  <c r="D230" i="3"/>
  <c r="AH229" i="3"/>
  <c r="AG229" i="3"/>
  <c r="AF229" i="3"/>
  <c r="AE229" i="3"/>
  <c r="AD229" i="3"/>
  <c r="AB229" i="3"/>
  <c r="S229" i="3"/>
  <c r="AA229" i="3" s="1"/>
  <c r="D229" i="3"/>
  <c r="Z228" i="3"/>
  <c r="Y228" i="3"/>
  <c r="X228" i="3"/>
  <c r="O228" i="3"/>
  <c r="N228" i="3"/>
  <c r="M228" i="3"/>
  <c r="L228" i="3"/>
  <c r="E228" i="3"/>
  <c r="D228" i="3"/>
  <c r="AH227" i="3"/>
  <c r="AG227" i="3"/>
  <c r="AF227" i="3"/>
  <c r="AD227" i="3"/>
  <c r="AC227" i="3"/>
  <c r="Q227" i="3"/>
  <c r="P227" i="3"/>
  <c r="D227" i="3"/>
  <c r="AH226" i="3"/>
  <c r="AG226" i="3"/>
  <c r="AF226" i="3"/>
  <c r="AE226" i="3"/>
  <c r="AD226" i="3"/>
  <c r="AB226" i="3"/>
  <c r="V226" i="3"/>
  <c r="Q226" i="3"/>
  <c r="P226" i="3"/>
  <c r="E226" i="3"/>
  <c r="D226" i="3"/>
  <c r="AH225" i="3"/>
  <c r="AG225" i="3"/>
  <c r="AF225" i="3"/>
  <c r="AD225" i="3"/>
  <c r="AC225" i="3"/>
  <c r="S225" i="3"/>
  <c r="AA225" i="3" s="1"/>
  <c r="AB225" i="3" s="1"/>
  <c r="AE225" i="3" s="1"/>
  <c r="E225" i="3"/>
  <c r="D225" i="3"/>
  <c r="AH224" i="3"/>
  <c r="AG224" i="3"/>
  <c r="AF224" i="3"/>
  <c r="AE224" i="3"/>
  <c r="AD224" i="3"/>
  <c r="AB224" i="3"/>
  <c r="S224" i="3"/>
  <c r="AA224" i="3" s="1"/>
  <c r="AC224" i="3" s="1"/>
  <c r="D224" i="3"/>
  <c r="AH223" i="3"/>
  <c r="AG223" i="3"/>
  <c r="AF223" i="3"/>
  <c r="AE223" i="3"/>
  <c r="AD223" i="3"/>
  <c r="AB223" i="3"/>
  <c r="S223" i="3"/>
  <c r="AA223" i="3" s="1"/>
  <c r="AC223" i="3" s="1"/>
  <c r="D223" i="3"/>
  <c r="AH222" i="3"/>
  <c r="AG222" i="3"/>
  <c r="AF222" i="3"/>
  <c r="AD222" i="3"/>
  <c r="AC222" i="3"/>
  <c r="V222" i="3"/>
  <c r="Q222" i="3"/>
  <c r="P222" i="3"/>
  <c r="D222" i="3"/>
  <c r="AH221" i="3"/>
  <c r="AG221" i="3"/>
  <c r="AF221" i="3"/>
  <c r="AD221" i="3"/>
  <c r="V221" i="3"/>
  <c r="Q221" i="3"/>
  <c r="P221" i="3"/>
  <c r="D221" i="3"/>
  <c r="AH220" i="3"/>
  <c r="AG220" i="3"/>
  <c r="AF220" i="3"/>
  <c r="AD220" i="3"/>
  <c r="V220" i="3"/>
  <c r="Q220" i="3"/>
  <c r="P220" i="3"/>
  <c r="D220" i="3"/>
  <c r="Z219" i="3"/>
  <c r="Y219" i="3"/>
  <c r="X219" i="3"/>
  <c r="O219" i="3"/>
  <c r="N219" i="3"/>
  <c r="M219" i="3"/>
  <c r="L219" i="3"/>
  <c r="E219" i="3"/>
  <c r="D219" i="3"/>
  <c r="AH218" i="3"/>
  <c r="AG218" i="3"/>
  <c r="AF218" i="3"/>
  <c r="AE218" i="3"/>
  <c r="AD218" i="3"/>
  <c r="AB218" i="3"/>
  <c r="V218" i="3"/>
  <c r="Q218" i="3"/>
  <c r="P218" i="3"/>
  <c r="E218" i="3"/>
  <c r="D218" i="3"/>
  <c r="AH217" i="3"/>
  <c r="AG217" i="3"/>
  <c r="AF217" i="3"/>
  <c r="AD217" i="3"/>
  <c r="S217" i="3"/>
  <c r="AA217" i="3" s="1"/>
  <c r="AC217" i="3" s="1"/>
  <c r="D217" i="3"/>
  <c r="AH216" i="3"/>
  <c r="AG216" i="3"/>
  <c r="AF216" i="3"/>
  <c r="AE216" i="3"/>
  <c r="AD216" i="3"/>
  <c r="AB216" i="3"/>
  <c r="R216" i="3"/>
  <c r="Q216" i="3"/>
  <c r="P216" i="3"/>
  <c r="E216" i="3"/>
  <c r="D216" i="3"/>
  <c r="AH215" i="3"/>
  <c r="AG215" i="3"/>
  <c r="AF215" i="3"/>
  <c r="AE215" i="3"/>
  <c r="AD215" i="3"/>
  <c r="AB215" i="3"/>
  <c r="V215" i="3"/>
  <c r="Q215" i="3"/>
  <c r="P215" i="3"/>
  <c r="E215" i="3"/>
  <c r="D215" i="3"/>
  <c r="Z214" i="3"/>
  <c r="Y214" i="3"/>
  <c r="X214" i="3"/>
  <c r="V214" i="3"/>
  <c r="U214" i="3"/>
  <c r="T214" i="3"/>
  <c r="Q214" i="3"/>
  <c r="P214" i="3"/>
  <c r="O214" i="3"/>
  <c r="N214" i="3"/>
  <c r="M214" i="3"/>
  <c r="L214" i="3"/>
  <c r="E214" i="3"/>
  <c r="D214" i="3"/>
  <c r="AH213" i="3"/>
  <c r="AG213" i="3"/>
  <c r="AF213" i="3"/>
  <c r="AD213" i="3"/>
  <c r="AC213" i="3"/>
  <c r="S213" i="3"/>
  <c r="AA213" i="3" s="1"/>
  <c r="AB213" i="3" s="1"/>
  <c r="AE213" i="3" s="1"/>
  <c r="AH212" i="3"/>
  <c r="AG212" i="3"/>
  <c r="AF212" i="3"/>
  <c r="AE212" i="3"/>
  <c r="AD212" i="3"/>
  <c r="AB212" i="3"/>
  <c r="S212" i="3"/>
  <c r="AA212" i="3" s="1"/>
  <c r="AC212" i="3" s="1"/>
  <c r="D212" i="3"/>
  <c r="Z211" i="3"/>
  <c r="Y211" i="3"/>
  <c r="X211" i="3"/>
  <c r="V211" i="3"/>
  <c r="U211" i="3"/>
  <c r="T211" i="3"/>
  <c r="R211" i="3"/>
  <c r="O211" i="3"/>
  <c r="N211" i="3"/>
  <c r="M211" i="3"/>
  <c r="L211" i="3"/>
  <c r="E211" i="3"/>
  <c r="D211" i="3"/>
  <c r="AH210" i="3"/>
  <c r="AG210" i="3"/>
  <c r="AF210" i="3"/>
  <c r="AE210" i="3"/>
  <c r="AD210" i="3"/>
  <c r="AB210" i="3"/>
  <c r="S210" i="3"/>
  <c r="AA210" i="3" s="1"/>
  <c r="AC210" i="3" s="1"/>
  <c r="D210" i="3"/>
  <c r="AH209" i="3"/>
  <c r="AG209" i="3"/>
  <c r="AF209" i="3"/>
  <c r="AD209" i="3"/>
  <c r="AC209" i="3"/>
  <c r="S209" i="3"/>
  <c r="AA209" i="3" s="1"/>
  <c r="AB209" i="3" s="1"/>
  <c r="AE209" i="3" s="1"/>
  <c r="AH208" i="3"/>
  <c r="AG208" i="3"/>
  <c r="AF208" i="3"/>
  <c r="AE208" i="3"/>
  <c r="AD208" i="3"/>
  <c r="AB208" i="3"/>
  <c r="S208" i="3"/>
  <c r="AA208" i="3" s="1"/>
  <c r="D208" i="3"/>
  <c r="AH207" i="3"/>
  <c r="AG207" i="3"/>
  <c r="AE207" i="3"/>
  <c r="AD207" i="3"/>
  <c r="AC207" i="3"/>
  <c r="Q207" i="3"/>
  <c r="Q211" i="3" s="1"/>
  <c r="P207" i="3"/>
  <c r="P211" i="3" s="1"/>
  <c r="D207" i="3"/>
  <c r="Z206" i="3"/>
  <c r="Y206" i="3"/>
  <c r="X206" i="3"/>
  <c r="Q206" i="3"/>
  <c r="P206" i="3"/>
  <c r="O206" i="3"/>
  <c r="N206" i="3"/>
  <c r="M206" i="3"/>
  <c r="L206" i="3"/>
  <c r="E206" i="3"/>
  <c r="D206" i="3"/>
  <c r="AH205" i="3"/>
  <c r="AH206" i="3" s="1"/>
  <c r="AG205" i="3"/>
  <c r="AG206" i="3" s="1"/>
  <c r="AF205" i="3"/>
  <c r="AF206" i="3" s="1"/>
  <c r="AE205" i="3"/>
  <c r="AE206" i="3" s="1"/>
  <c r="AD205" i="3"/>
  <c r="AD206" i="3" s="1"/>
  <c r="AB205" i="3"/>
  <c r="AB206" i="3" s="1"/>
  <c r="V205" i="3"/>
  <c r="V206" i="3" s="1"/>
  <c r="S205" i="3"/>
  <c r="AA205" i="3" s="1"/>
  <c r="AC205" i="3" s="1"/>
  <c r="AC206" i="3" s="1"/>
  <c r="E205" i="3"/>
  <c r="Z201" i="3"/>
  <c r="Y201" i="3"/>
  <c r="X201" i="3"/>
  <c r="O201" i="3"/>
  <c r="N201" i="3"/>
  <c r="M201" i="3"/>
  <c r="L201" i="3"/>
  <c r="E201" i="3"/>
  <c r="D201" i="3"/>
  <c r="AH200" i="3"/>
  <c r="AG200" i="3"/>
  <c r="AF200" i="3"/>
  <c r="AE200" i="3"/>
  <c r="AD200" i="3"/>
  <c r="AB200" i="3"/>
  <c r="V200" i="3"/>
  <c r="S200" i="3"/>
  <c r="D200" i="3"/>
  <c r="AH199" i="3"/>
  <c r="AG199" i="3"/>
  <c r="AF199" i="3"/>
  <c r="AD199" i="3"/>
  <c r="V199" i="3"/>
  <c r="Q199" i="3"/>
  <c r="P199" i="3"/>
  <c r="E199" i="3"/>
  <c r="D199" i="3"/>
  <c r="AH198" i="3"/>
  <c r="AG198" i="3"/>
  <c r="AF198" i="3"/>
  <c r="AD198" i="3"/>
  <c r="V198" i="3"/>
  <c r="Q198" i="3"/>
  <c r="P198" i="3"/>
  <c r="E198" i="3"/>
  <c r="D198" i="3"/>
  <c r="AH197" i="3"/>
  <c r="AG197" i="3"/>
  <c r="AF197" i="3"/>
  <c r="AD197" i="3"/>
  <c r="V197" i="3"/>
  <c r="Q197" i="3"/>
  <c r="P197" i="3"/>
  <c r="D197" i="3"/>
  <c r="AH196" i="3"/>
  <c r="AG196" i="3"/>
  <c r="AF196" i="3"/>
  <c r="AD196" i="3"/>
  <c r="V196" i="3"/>
  <c r="Q196" i="3"/>
  <c r="S196" i="3" s="1"/>
  <c r="AA196" i="3" s="1"/>
  <c r="AB196" i="3" s="1"/>
  <c r="AE196" i="3" s="1"/>
  <c r="E196" i="3"/>
  <c r="D196" i="3"/>
  <c r="AH195" i="3"/>
  <c r="AG195" i="3"/>
  <c r="AF195" i="3"/>
  <c r="AD195" i="3"/>
  <c r="V195" i="3"/>
  <c r="Q195" i="3"/>
  <c r="P195" i="3"/>
  <c r="D195" i="3"/>
  <c r="Z194" i="3"/>
  <c r="Y194" i="3"/>
  <c r="X194" i="3"/>
  <c r="V194" i="3"/>
  <c r="U194" i="3"/>
  <c r="T194" i="3"/>
  <c r="Q194" i="3"/>
  <c r="P194" i="3"/>
  <c r="O194" i="3"/>
  <c r="N194" i="3"/>
  <c r="M194" i="3"/>
  <c r="L194" i="3"/>
  <c r="E194" i="3"/>
  <c r="AH193" i="3"/>
  <c r="AG193" i="3"/>
  <c r="AF193" i="3"/>
  <c r="AE193" i="3"/>
  <c r="AD193" i="3"/>
  <c r="AB193" i="3"/>
  <c r="S193" i="3"/>
  <c r="AA193" i="3" s="1"/>
  <c r="AC193" i="3" s="1"/>
  <c r="AH191" i="3"/>
  <c r="AG191" i="3"/>
  <c r="AF191" i="3"/>
  <c r="AE191" i="3"/>
  <c r="AD191" i="3"/>
  <c r="AB191" i="3"/>
  <c r="S191" i="3"/>
  <c r="AA191" i="3" s="1"/>
  <c r="D191" i="3"/>
  <c r="Z190" i="3"/>
  <c r="Y190" i="3"/>
  <c r="X190" i="3"/>
  <c r="Q190" i="3"/>
  <c r="P190" i="3"/>
  <c r="O190" i="3"/>
  <c r="N190" i="3"/>
  <c r="M190" i="3"/>
  <c r="L190" i="3"/>
  <c r="E190" i="3"/>
  <c r="D190" i="3"/>
  <c r="AH189" i="3"/>
  <c r="AG189" i="3"/>
  <c r="AF189" i="3"/>
  <c r="AD189" i="3"/>
  <c r="AC189" i="3"/>
  <c r="V189" i="3"/>
  <c r="S189" i="3"/>
  <c r="AA189" i="3" s="1"/>
  <c r="AB189" i="3" s="1"/>
  <c r="AE189" i="3" s="1"/>
  <c r="D189" i="3"/>
  <c r="AH188" i="3"/>
  <c r="AG188" i="3"/>
  <c r="AF188" i="3"/>
  <c r="AE188" i="3"/>
  <c r="AD188" i="3"/>
  <c r="AB188" i="3"/>
  <c r="V188" i="3"/>
  <c r="S188" i="3"/>
  <c r="AA188" i="3" s="1"/>
  <c r="D188" i="3"/>
  <c r="Z187" i="3"/>
  <c r="Y187" i="3"/>
  <c r="X187" i="3"/>
  <c r="V187" i="3"/>
  <c r="U187" i="3"/>
  <c r="T187" i="3"/>
  <c r="Q187" i="3"/>
  <c r="P187" i="3"/>
  <c r="O187" i="3"/>
  <c r="N187" i="3"/>
  <c r="M187" i="3"/>
  <c r="L187" i="3"/>
  <c r="E187" i="3"/>
  <c r="D187" i="3"/>
  <c r="AH186" i="3"/>
  <c r="AG186" i="3"/>
  <c r="AE186" i="3"/>
  <c r="AD186" i="3"/>
  <c r="AC186" i="3"/>
  <c r="S186" i="3"/>
  <c r="AA186" i="3" s="1"/>
  <c r="E186" i="3"/>
  <c r="D186" i="3"/>
  <c r="AH185" i="3"/>
  <c r="AG185" i="3"/>
  <c r="AF185" i="3"/>
  <c r="AD185" i="3"/>
  <c r="AC185" i="3"/>
  <c r="S185" i="3"/>
  <c r="AA185" i="3" s="1"/>
  <c r="AB185" i="3" s="1"/>
  <c r="AE185" i="3" s="1"/>
  <c r="D185" i="3"/>
  <c r="Z184" i="3"/>
  <c r="Y184" i="3"/>
  <c r="X184" i="3"/>
  <c r="V184" i="3"/>
  <c r="U184" i="3"/>
  <c r="T184" i="3"/>
  <c r="Q184" i="3"/>
  <c r="P184" i="3"/>
  <c r="O184" i="3"/>
  <c r="N184" i="3"/>
  <c r="M184" i="3"/>
  <c r="L184" i="3"/>
  <c r="E184" i="3"/>
  <c r="D184" i="3"/>
  <c r="AH183" i="3"/>
  <c r="AH184" i="3" s="1"/>
  <c r="AG183" i="3"/>
  <c r="AG184" i="3" s="1"/>
  <c r="AF183" i="3"/>
  <c r="AF184" i="3" s="1"/>
  <c r="AD183" i="3"/>
  <c r="AD184" i="3" s="1"/>
  <c r="S183" i="3"/>
  <c r="AA183" i="3" s="1"/>
  <c r="AC183" i="3" s="1"/>
  <c r="AC184" i="3" s="1"/>
  <c r="D183" i="3"/>
  <c r="Z182" i="3"/>
  <c r="Y182" i="3"/>
  <c r="X182" i="3"/>
  <c r="V182" i="3"/>
  <c r="U182" i="3"/>
  <c r="T182" i="3"/>
  <c r="Q182" i="3"/>
  <c r="P182" i="3"/>
  <c r="O182" i="3"/>
  <c r="N182" i="3"/>
  <c r="M182" i="3"/>
  <c r="L182" i="3"/>
  <c r="E182" i="3"/>
  <c r="D182" i="3"/>
  <c r="AH181" i="3"/>
  <c r="AH182" i="3" s="1"/>
  <c r="AG181" i="3"/>
  <c r="AG182" i="3" s="1"/>
  <c r="AF181" i="3"/>
  <c r="AF182" i="3" s="1"/>
  <c r="AE181" i="3"/>
  <c r="AE182" i="3" s="1"/>
  <c r="AD181" i="3"/>
  <c r="AD182" i="3" s="1"/>
  <c r="AB181" i="3"/>
  <c r="AB182" i="3" s="1"/>
  <c r="S181" i="3"/>
  <c r="AA181" i="3" s="1"/>
  <c r="AC181" i="3" s="1"/>
  <c r="AC182" i="3" s="1"/>
  <c r="D181" i="3"/>
  <c r="Z180" i="3"/>
  <c r="Y180" i="3"/>
  <c r="X180" i="3"/>
  <c r="Q180" i="3"/>
  <c r="P180" i="3"/>
  <c r="O180" i="3"/>
  <c r="N180" i="3"/>
  <c r="M180" i="3"/>
  <c r="L180" i="3"/>
  <c r="E180" i="3"/>
  <c r="D180" i="3"/>
  <c r="AH179" i="3"/>
  <c r="AH180" i="3" s="1"/>
  <c r="AG179" i="3"/>
  <c r="AG180" i="3" s="1"/>
  <c r="AF179" i="3"/>
  <c r="AF180" i="3" s="1"/>
  <c r="AD179" i="3"/>
  <c r="AD180" i="3" s="1"/>
  <c r="AC179" i="3"/>
  <c r="AC180" i="3" s="1"/>
  <c r="V179" i="3"/>
  <c r="V180" i="3" s="1"/>
  <c r="S179" i="3"/>
  <c r="D179" i="3"/>
  <c r="Z178" i="3"/>
  <c r="Y178" i="3"/>
  <c r="X178" i="3"/>
  <c r="V178" i="3"/>
  <c r="U178" i="3"/>
  <c r="T178" i="3"/>
  <c r="Q178" i="3"/>
  <c r="P178" i="3"/>
  <c r="O178" i="3"/>
  <c r="N178" i="3"/>
  <c r="M178" i="3"/>
  <c r="L178" i="3"/>
  <c r="E178" i="3"/>
  <c r="D178" i="3"/>
  <c r="AH177" i="3"/>
  <c r="AG177" i="3"/>
  <c r="AF177" i="3"/>
  <c r="AE177" i="3"/>
  <c r="AD177" i="3"/>
  <c r="AB177" i="3"/>
  <c r="S177" i="3"/>
  <c r="AA177" i="3" s="1"/>
  <c r="AC177" i="3" s="1"/>
  <c r="D177" i="3"/>
  <c r="AH176" i="3"/>
  <c r="AG176" i="3"/>
  <c r="AD176" i="3"/>
  <c r="AC176" i="3"/>
  <c r="S176" i="3"/>
  <c r="AA176" i="3" s="1"/>
  <c r="AB176" i="3" s="1"/>
  <c r="AF176" i="3" s="1"/>
  <c r="D176" i="3"/>
  <c r="AH175" i="3"/>
  <c r="AG175" i="3"/>
  <c r="AF175" i="3"/>
  <c r="AE175" i="3"/>
  <c r="AD175" i="3"/>
  <c r="AB175" i="3"/>
  <c r="S175" i="3"/>
  <c r="AA175" i="3" s="1"/>
  <c r="D175" i="3"/>
  <c r="Z174" i="3"/>
  <c r="Y174" i="3"/>
  <c r="X174" i="3"/>
  <c r="V174" i="3"/>
  <c r="U174" i="3"/>
  <c r="T174" i="3"/>
  <c r="O174" i="3"/>
  <c r="N174" i="3"/>
  <c r="M174" i="3"/>
  <c r="L174" i="3"/>
  <c r="E174" i="3"/>
  <c r="D174" i="3"/>
  <c r="AH173" i="3"/>
  <c r="AG173" i="3"/>
  <c r="AF173" i="3"/>
  <c r="AE173" i="3"/>
  <c r="AD173" i="3"/>
  <c r="AB173" i="3"/>
  <c r="S173" i="3"/>
  <c r="AA173" i="3" s="1"/>
  <c r="AC173" i="3" s="1"/>
  <c r="AH172" i="3"/>
  <c r="AG172" i="3"/>
  <c r="AF172" i="3"/>
  <c r="AD172" i="3"/>
  <c r="AC172" i="3"/>
  <c r="S172" i="3"/>
  <c r="AA172" i="3" s="1"/>
  <c r="AB172" i="3" s="1"/>
  <c r="AE172" i="3" s="1"/>
  <c r="D172" i="3"/>
  <c r="AH171" i="3"/>
  <c r="AG171" i="3"/>
  <c r="AF171" i="3"/>
  <c r="AE171" i="3"/>
  <c r="AD171" i="3"/>
  <c r="AB171" i="3"/>
  <c r="S171" i="3"/>
  <c r="AA171" i="3" s="1"/>
  <c r="AC171" i="3" s="1"/>
  <c r="D171" i="3"/>
  <c r="AH170" i="3"/>
  <c r="AG170" i="3"/>
  <c r="AF170" i="3"/>
  <c r="AE170" i="3"/>
  <c r="AD170" i="3"/>
  <c r="AB170" i="3"/>
  <c r="S170" i="3"/>
  <c r="AA170" i="3" s="1"/>
  <c r="AC170" i="3" s="1"/>
  <c r="D170" i="3"/>
  <c r="AH169" i="3"/>
  <c r="AG169" i="3"/>
  <c r="AF169" i="3"/>
  <c r="AE169" i="3"/>
  <c r="AD169" i="3"/>
  <c r="AB169" i="3"/>
  <c r="S169" i="3"/>
  <c r="AA169" i="3" s="1"/>
  <c r="AC169" i="3" s="1"/>
  <c r="D169" i="3"/>
  <c r="AH168" i="3"/>
  <c r="AG168" i="3"/>
  <c r="AF168" i="3"/>
  <c r="AD168" i="3"/>
  <c r="AC168" i="3"/>
  <c r="S168" i="3"/>
  <c r="AA168" i="3" s="1"/>
  <c r="AB168" i="3" s="1"/>
  <c r="AE168" i="3" s="1"/>
  <c r="D168" i="3"/>
  <c r="AH167" i="3"/>
  <c r="AG167" i="3"/>
  <c r="AF167" i="3"/>
  <c r="AD167" i="3"/>
  <c r="AC167" i="3"/>
  <c r="S167" i="3"/>
  <c r="AA167" i="3" s="1"/>
  <c r="AB167" i="3" s="1"/>
  <c r="AE167" i="3" s="1"/>
  <c r="D167" i="3"/>
  <c r="AH166" i="3"/>
  <c r="AG166" i="3"/>
  <c r="AF166" i="3"/>
  <c r="AD166" i="3"/>
  <c r="S166" i="3"/>
  <c r="AA166" i="3" s="1"/>
  <c r="AB166" i="3" s="1"/>
  <c r="AE166" i="3" s="1"/>
  <c r="D166" i="3"/>
  <c r="AH165" i="3"/>
  <c r="AG165" i="3"/>
  <c r="AF165" i="3"/>
  <c r="AD165" i="3"/>
  <c r="AC165" i="3"/>
  <c r="S165" i="3"/>
  <c r="AA165" i="3" s="1"/>
  <c r="AB165" i="3" s="1"/>
  <c r="AE165" i="3" s="1"/>
  <c r="E165" i="3"/>
  <c r="D165" i="3"/>
  <c r="AH164" i="3"/>
  <c r="AG164" i="3"/>
  <c r="AF164" i="3"/>
  <c r="AD164" i="3"/>
  <c r="S164" i="3"/>
  <c r="AA164" i="3" s="1"/>
  <c r="AB164" i="3" s="1"/>
  <c r="AE164" i="3" s="1"/>
  <c r="D164" i="3"/>
  <c r="AH163" i="3"/>
  <c r="AG163" i="3"/>
  <c r="AF163" i="3"/>
  <c r="AD163" i="3"/>
  <c r="S163" i="3"/>
  <c r="AA163" i="3" s="1"/>
  <c r="AB163" i="3" s="1"/>
  <c r="AE163" i="3" s="1"/>
  <c r="D163" i="3"/>
  <c r="AH162" i="3"/>
  <c r="AG162" i="3"/>
  <c r="AF162" i="3"/>
  <c r="AE162" i="3"/>
  <c r="AD162" i="3"/>
  <c r="AB162" i="3"/>
  <c r="S162" i="3"/>
  <c r="AA162" i="3" s="1"/>
  <c r="AC162" i="3" s="1"/>
  <c r="D162" i="3"/>
  <c r="AH161" i="3"/>
  <c r="AG161" i="3"/>
  <c r="AF161" i="3"/>
  <c r="AE161" i="3"/>
  <c r="AD161" i="3"/>
  <c r="AB161" i="3"/>
  <c r="S161" i="3"/>
  <c r="AA161" i="3" s="1"/>
  <c r="AC161" i="3" s="1"/>
  <c r="D161" i="3"/>
  <c r="AH160" i="3"/>
  <c r="AG160" i="3"/>
  <c r="AF160" i="3"/>
  <c r="AD160" i="3"/>
  <c r="AC160" i="3"/>
  <c r="S160" i="3"/>
  <c r="AA160" i="3" s="1"/>
  <c r="AB160" i="3" s="1"/>
  <c r="AE160" i="3" s="1"/>
  <c r="D160" i="3"/>
  <c r="AH159" i="3"/>
  <c r="AG159" i="3"/>
  <c r="AF159" i="3"/>
  <c r="AE159" i="3"/>
  <c r="AD159" i="3"/>
  <c r="AB159" i="3"/>
  <c r="S159" i="3"/>
  <c r="AA159" i="3" s="1"/>
  <c r="AC159" i="3" s="1"/>
  <c r="D159" i="3"/>
  <c r="AH158" i="3"/>
  <c r="AG158" i="3"/>
  <c r="AF158" i="3"/>
  <c r="AE158" i="3"/>
  <c r="AD158" i="3"/>
  <c r="AB158" i="3"/>
  <c r="S158" i="3"/>
  <c r="AA158" i="3" s="1"/>
  <c r="AC158" i="3" s="1"/>
  <c r="D158" i="3"/>
  <c r="AH157" i="3"/>
  <c r="AG157" i="3"/>
  <c r="AF157" i="3"/>
  <c r="AE157" i="3"/>
  <c r="AD157" i="3"/>
  <c r="AB157" i="3"/>
  <c r="S157" i="3"/>
  <c r="AA157" i="3" s="1"/>
  <c r="AC157" i="3" s="1"/>
  <c r="D157" i="3"/>
  <c r="AH156" i="3"/>
  <c r="AG156" i="3"/>
  <c r="AF156" i="3"/>
  <c r="AE156" i="3"/>
  <c r="AD156" i="3"/>
  <c r="AB156" i="3"/>
  <c r="Q156" i="3"/>
  <c r="Q174" i="3" s="1"/>
  <c r="P156" i="3"/>
  <c r="D156" i="3"/>
  <c r="Z155" i="3"/>
  <c r="Y155" i="3"/>
  <c r="X155" i="3"/>
  <c r="V155" i="3"/>
  <c r="U155" i="3"/>
  <c r="T155" i="3"/>
  <c r="Q155" i="3"/>
  <c r="P155" i="3"/>
  <c r="O155" i="3"/>
  <c r="N155" i="3"/>
  <c r="M155" i="3"/>
  <c r="L155" i="3"/>
  <c r="E155" i="3"/>
  <c r="D155" i="3"/>
  <c r="AH154" i="3"/>
  <c r="AH155" i="3" s="1"/>
  <c r="AG154" i="3"/>
  <c r="AG155" i="3" s="1"/>
  <c r="AF154" i="3"/>
  <c r="AF155" i="3" s="1"/>
  <c r="AE154" i="3"/>
  <c r="AE155" i="3" s="1"/>
  <c r="AD154" i="3"/>
  <c r="AD155" i="3" s="1"/>
  <c r="AB154" i="3"/>
  <c r="AB155" i="3" s="1"/>
  <c r="S154" i="3"/>
  <c r="AA154" i="3" s="1"/>
  <c r="D154" i="3"/>
  <c r="Z153" i="3"/>
  <c r="Y153" i="3"/>
  <c r="X153" i="3"/>
  <c r="O153" i="3"/>
  <c r="N153" i="3"/>
  <c r="M153" i="3"/>
  <c r="L153" i="3"/>
  <c r="E153" i="3"/>
  <c r="D153" i="3"/>
  <c r="AH152" i="3"/>
  <c r="AG152" i="3"/>
  <c r="AF152" i="3"/>
  <c r="AE152" i="3"/>
  <c r="AD152" i="3"/>
  <c r="AB152" i="3"/>
  <c r="V152" i="3"/>
  <c r="Q152" i="3"/>
  <c r="P152" i="3"/>
  <c r="E152" i="3"/>
  <c r="D152" i="3"/>
  <c r="AH151" i="3"/>
  <c r="AG151" i="3"/>
  <c r="AF151" i="3"/>
  <c r="AE151" i="3"/>
  <c r="AD151" i="3"/>
  <c r="AB151" i="3"/>
  <c r="V151" i="3"/>
  <c r="Q151" i="3"/>
  <c r="P151" i="3"/>
  <c r="E151" i="3"/>
  <c r="D151" i="3"/>
  <c r="Z150" i="3"/>
  <c r="Y150" i="3"/>
  <c r="X150" i="3"/>
  <c r="Q150" i="3"/>
  <c r="P150" i="3"/>
  <c r="O150" i="3"/>
  <c r="N150" i="3"/>
  <c r="M150" i="3"/>
  <c r="L150" i="3"/>
  <c r="E150" i="3"/>
  <c r="D150" i="3"/>
  <c r="AH149" i="3"/>
  <c r="AG149" i="3"/>
  <c r="AF149" i="3"/>
  <c r="AE149" i="3"/>
  <c r="AD149" i="3"/>
  <c r="AB149" i="3"/>
  <c r="V149" i="3"/>
  <c r="S149" i="3"/>
  <c r="AA149" i="3" s="1"/>
  <c r="AC149" i="3" s="1"/>
  <c r="D149" i="3"/>
  <c r="AH148" i="3"/>
  <c r="AG148" i="3"/>
  <c r="AF148" i="3"/>
  <c r="AE148" i="3"/>
  <c r="AD148" i="3"/>
  <c r="AB148" i="3"/>
  <c r="V148" i="3"/>
  <c r="S148" i="3"/>
  <c r="AA148" i="3" s="1"/>
  <c r="AC148" i="3" s="1"/>
  <c r="E148" i="3"/>
  <c r="D148" i="3"/>
  <c r="Z147" i="3"/>
  <c r="Y147" i="3"/>
  <c r="X147" i="3"/>
  <c r="V147" i="3"/>
  <c r="U147" i="3"/>
  <c r="T147" i="3"/>
  <c r="Q147" i="3"/>
  <c r="P147" i="3"/>
  <c r="O147" i="3"/>
  <c r="N147" i="3"/>
  <c r="M147" i="3"/>
  <c r="L147" i="3"/>
  <c r="E147" i="3"/>
  <c r="D147" i="3"/>
  <c r="AH146" i="3"/>
  <c r="AH147" i="3" s="1"/>
  <c r="AG146" i="3"/>
  <c r="AG147" i="3" s="1"/>
  <c r="AE146" i="3"/>
  <c r="AE147" i="3" s="1"/>
  <c r="AD146" i="3"/>
  <c r="AD147" i="3" s="1"/>
  <c r="AC146" i="3"/>
  <c r="AC147" i="3" s="1"/>
  <c r="S146" i="3"/>
  <c r="AA146" i="3" s="1"/>
  <c r="D146" i="3"/>
  <c r="Z145" i="3"/>
  <c r="Y145" i="3"/>
  <c r="X145" i="3"/>
  <c r="V145" i="3"/>
  <c r="U145" i="3"/>
  <c r="T145" i="3"/>
  <c r="Q145" i="3"/>
  <c r="P145" i="3"/>
  <c r="O145" i="3"/>
  <c r="N145" i="3"/>
  <c r="M145" i="3"/>
  <c r="L145" i="3"/>
  <c r="E145" i="3"/>
  <c r="D145" i="3"/>
  <c r="AH144" i="3"/>
  <c r="AH145" i="3" s="1"/>
  <c r="AF144" i="3"/>
  <c r="AF145" i="3" s="1"/>
  <c r="AE144" i="3"/>
  <c r="AE145" i="3" s="1"/>
  <c r="AD144" i="3"/>
  <c r="AD145" i="3" s="1"/>
  <c r="AC144" i="3"/>
  <c r="AC145" i="3" s="1"/>
  <c r="S144" i="3"/>
  <c r="AA144" i="3" s="1"/>
  <c r="AB144" i="3" s="1"/>
  <c r="AG144" i="3" s="1"/>
  <c r="AG145" i="3" s="1"/>
  <c r="D144" i="3"/>
  <c r="Z143" i="3"/>
  <c r="Y143" i="3"/>
  <c r="X143" i="3"/>
  <c r="Q143" i="3"/>
  <c r="P143" i="3"/>
  <c r="O143" i="3"/>
  <c r="N143" i="3"/>
  <c r="M143" i="3"/>
  <c r="L143" i="3"/>
  <c r="E143" i="3"/>
  <c r="D143" i="3"/>
  <c r="AH142" i="3"/>
  <c r="AG142" i="3"/>
  <c r="AF142" i="3"/>
  <c r="AE142" i="3"/>
  <c r="AD142" i="3"/>
  <c r="AB142" i="3"/>
  <c r="S142" i="3"/>
  <c r="AA142" i="3" s="1"/>
  <c r="D142" i="3"/>
  <c r="AH140" i="3"/>
  <c r="AG140" i="3"/>
  <c r="AF140" i="3"/>
  <c r="AE140" i="3"/>
  <c r="AD140" i="3"/>
  <c r="AB140" i="3"/>
  <c r="V140" i="3"/>
  <c r="V143" i="3" s="1"/>
  <c r="S140" i="3"/>
  <c r="AA140" i="3" s="1"/>
  <c r="AC140" i="3" s="1"/>
  <c r="D140" i="3"/>
  <c r="Z139" i="3"/>
  <c r="Y139" i="3"/>
  <c r="X139" i="3"/>
  <c r="V139" i="3"/>
  <c r="U139" i="3"/>
  <c r="T139" i="3"/>
  <c r="Q139" i="3"/>
  <c r="P139" i="3"/>
  <c r="O139" i="3"/>
  <c r="N139" i="3"/>
  <c r="M139" i="3"/>
  <c r="L139" i="3"/>
  <c r="E139" i="3"/>
  <c r="D139" i="3"/>
  <c r="AH138" i="3"/>
  <c r="AG138" i="3"/>
  <c r="AF138" i="3"/>
  <c r="AE138" i="3"/>
  <c r="AD138" i="3"/>
  <c r="AB138" i="3"/>
  <c r="S138" i="3"/>
  <c r="AA138" i="3" s="1"/>
  <c r="AC138" i="3" s="1"/>
  <c r="D138" i="3"/>
  <c r="AH137" i="3"/>
  <c r="AG137" i="3"/>
  <c r="AE137" i="3"/>
  <c r="AD137" i="3"/>
  <c r="AC137" i="3"/>
  <c r="S137" i="3"/>
  <c r="AA137" i="3" s="1"/>
  <c r="AB137" i="3" s="1"/>
  <c r="AF137" i="3" s="1"/>
  <c r="D137" i="3"/>
  <c r="AH136" i="3"/>
  <c r="AG136" i="3"/>
  <c r="AF136" i="3"/>
  <c r="AE136" i="3"/>
  <c r="AD136" i="3"/>
  <c r="AB136" i="3"/>
  <c r="S136" i="3"/>
  <c r="D136" i="3"/>
  <c r="AH135" i="3"/>
  <c r="AG135" i="3"/>
  <c r="AF135" i="3"/>
  <c r="AD135" i="3"/>
  <c r="AC135" i="3"/>
  <c r="S135" i="3"/>
  <c r="AA135" i="3" s="1"/>
  <c r="AB135" i="3" s="1"/>
  <c r="AE135" i="3" s="1"/>
  <c r="D135" i="3"/>
  <c r="AH134" i="3"/>
  <c r="AG134" i="3"/>
  <c r="AF134" i="3"/>
  <c r="AE134" i="3"/>
  <c r="AD134" i="3"/>
  <c r="AB134" i="3"/>
  <c r="S134" i="3"/>
  <c r="AA134" i="3" s="1"/>
  <c r="AC134" i="3" s="1"/>
  <c r="D134" i="3"/>
  <c r="AH133" i="3"/>
  <c r="AE133" i="3"/>
  <c r="AD133" i="3"/>
  <c r="AC133" i="3"/>
  <c r="S133" i="3"/>
  <c r="AA133" i="3" s="1"/>
  <c r="AB133" i="3" s="1"/>
  <c r="AG133" i="3" s="1"/>
  <c r="D133" i="3"/>
  <c r="AH132" i="3"/>
  <c r="AG132" i="3"/>
  <c r="AF132" i="3"/>
  <c r="AD132" i="3"/>
  <c r="S132" i="3"/>
  <c r="AA132" i="3" s="1"/>
  <c r="AB132" i="3" s="1"/>
  <c r="AE132" i="3" s="1"/>
  <c r="D132" i="3"/>
  <c r="AH131" i="3"/>
  <c r="AG131" i="3"/>
  <c r="AF131" i="3"/>
  <c r="AE131" i="3"/>
  <c r="AD131" i="3"/>
  <c r="AB131" i="3"/>
  <c r="S131" i="3"/>
  <c r="AA131" i="3" s="1"/>
  <c r="AC131" i="3" s="1"/>
  <c r="D131" i="3"/>
  <c r="AH130" i="3"/>
  <c r="AG130" i="3"/>
  <c r="AF130" i="3"/>
  <c r="AD130" i="3"/>
  <c r="S130" i="3"/>
  <c r="AA130" i="3" s="1"/>
  <c r="AB130" i="3" s="1"/>
  <c r="AE130" i="3" s="1"/>
  <c r="D130" i="3"/>
  <c r="AH129" i="3"/>
  <c r="AG129" i="3"/>
  <c r="AF129" i="3"/>
  <c r="AE129" i="3"/>
  <c r="AD129" i="3"/>
  <c r="AB129" i="3"/>
  <c r="S129" i="3"/>
  <c r="AA129" i="3" s="1"/>
  <c r="AC129" i="3" s="1"/>
  <c r="D129" i="3"/>
  <c r="AH128" i="3"/>
  <c r="AG128" i="3"/>
  <c r="AF128" i="3"/>
  <c r="AD128" i="3"/>
  <c r="AC128" i="3"/>
  <c r="S128" i="3"/>
  <c r="AA128" i="3" s="1"/>
  <c r="AB128" i="3" s="1"/>
  <c r="AE128" i="3" s="1"/>
  <c r="D128" i="3"/>
  <c r="AH127" i="3"/>
  <c r="AG127" i="3"/>
  <c r="AF127" i="3"/>
  <c r="AE127" i="3"/>
  <c r="AD127" i="3"/>
  <c r="AB127" i="3"/>
  <c r="S127" i="3"/>
  <c r="AA127" i="3" s="1"/>
  <c r="AC127" i="3" s="1"/>
  <c r="D127" i="3"/>
  <c r="AH126" i="3"/>
  <c r="AG126" i="3"/>
  <c r="AF126" i="3"/>
  <c r="AE126" i="3"/>
  <c r="AD126" i="3"/>
  <c r="AB126" i="3"/>
  <c r="S126" i="3"/>
  <c r="AA126" i="3" s="1"/>
  <c r="AC126" i="3" s="1"/>
  <c r="D126" i="3"/>
  <c r="Z125" i="3"/>
  <c r="Y125" i="3"/>
  <c r="X125" i="3"/>
  <c r="Q125" i="3"/>
  <c r="P125" i="3"/>
  <c r="O125" i="3"/>
  <c r="N125" i="3"/>
  <c r="M125" i="3"/>
  <c r="L125" i="3"/>
  <c r="E125" i="3"/>
  <c r="D125" i="3"/>
  <c r="AH124" i="3"/>
  <c r="AH125" i="3" s="1"/>
  <c r="AG124" i="3"/>
  <c r="AG125" i="3" s="1"/>
  <c r="AF124" i="3"/>
  <c r="AF125" i="3" s="1"/>
  <c r="AE124" i="3"/>
  <c r="AE125" i="3" s="1"/>
  <c r="AD124" i="3"/>
  <c r="AD125" i="3" s="1"/>
  <c r="AB124" i="3"/>
  <c r="AB125" i="3" s="1"/>
  <c r="V124" i="3"/>
  <c r="V125" i="3" s="1"/>
  <c r="S124" i="3"/>
  <c r="Z123" i="3"/>
  <c r="Y123" i="3"/>
  <c r="X123" i="3"/>
  <c r="O123" i="3"/>
  <c r="N123" i="3"/>
  <c r="M123" i="3"/>
  <c r="L123" i="3"/>
  <c r="E123" i="3"/>
  <c r="D123" i="3"/>
  <c r="AH122" i="3"/>
  <c r="AH123" i="3" s="1"/>
  <c r="AG122" i="3"/>
  <c r="AG123" i="3" s="1"/>
  <c r="AF122" i="3"/>
  <c r="AF123" i="3" s="1"/>
  <c r="AE122" i="3"/>
  <c r="AE123" i="3" s="1"/>
  <c r="AD122" i="3"/>
  <c r="AD123" i="3" s="1"/>
  <c r="AB122" i="3"/>
  <c r="AB123" i="3" s="1"/>
  <c r="V122" i="3"/>
  <c r="V123" i="3" s="1"/>
  <c r="Q122" i="3"/>
  <c r="Q123" i="3" s="1"/>
  <c r="P122" i="3"/>
  <c r="E122" i="3"/>
  <c r="D122" i="3"/>
  <c r="Z121" i="3"/>
  <c r="Y121" i="3"/>
  <c r="X121" i="3"/>
  <c r="Q121" i="3"/>
  <c r="P121" i="3"/>
  <c r="O121" i="3"/>
  <c r="N121" i="3"/>
  <c r="M121" i="3"/>
  <c r="L121" i="3"/>
  <c r="E121" i="3"/>
  <c r="D121" i="3"/>
  <c r="AH120" i="3"/>
  <c r="AG120" i="3"/>
  <c r="AF120" i="3"/>
  <c r="AE120" i="3"/>
  <c r="AD120" i="3"/>
  <c r="AB120" i="3"/>
  <c r="V120" i="3"/>
  <c r="S120" i="3"/>
  <c r="D120" i="3"/>
  <c r="AH119" i="3"/>
  <c r="AG119" i="3"/>
  <c r="AE119" i="3"/>
  <c r="AD119" i="3"/>
  <c r="AC119" i="3"/>
  <c r="V119" i="3"/>
  <c r="S119" i="3"/>
  <c r="D119" i="3"/>
  <c r="Z118" i="3"/>
  <c r="Y118" i="3"/>
  <c r="X118" i="3"/>
  <c r="O118" i="3"/>
  <c r="N118" i="3"/>
  <c r="M118" i="3"/>
  <c r="L118" i="3"/>
  <c r="E118" i="3"/>
  <c r="D118" i="3"/>
  <c r="AH117" i="3"/>
  <c r="AH118" i="3" s="1"/>
  <c r="AG117" i="3"/>
  <c r="AG118" i="3" s="1"/>
  <c r="AF117" i="3"/>
  <c r="AF118" i="3" s="1"/>
  <c r="AE117" i="3"/>
  <c r="AE118" i="3" s="1"/>
  <c r="AD117" i="3"/>
  <c r="AD118" i="3" s="1"/>
  <c r="AB117" i="3"/>
  <c r="AB118" i="3" s="1"/>
  <c r="V117" i="3"/>
  <c r="V118" i="3" s="1"/>
  <c r="Q117" i="3"/>
  <c r="Q118" i="3" s="1"/>
  <c r="P117" i="3"/>
  <c r="E117" i="3"/>
  <c r="D117" i="3"/>
  <c r="Z116" i="3"/>
  <c r="Y116" i="3"/>
  <c r="X116" i="3"/>
  <c r="Q116" i="3"/>
  <c r="P116" i="3"/>
  <c r="O116" i="3"/>
  <c r="N116" i="3"/>
  <c r="M116" i="3"/>
  <c r="L116" i="3"/>
  <c r="E116" i="3"/>
  <c r="D116" i="3"/>
  <c r="AH115" i="3"/>
  <c r="AG115" i="3"/>
  <c r="AE115" i="3"/>
  <c r="AD115" i="3"/>
  <c r="AC115" i="3"/>
  <c r="V115" i="3"/>
  <c r="S115" i="3"/>
  <c r="AH114" i="3"/>
  <c r="AG114" i="3"/>
  <c r="AF114" i="3"/>
  <c r="AE114" i="3"/>
  <c r="AD114" i="3"/>
  <c r="AB114" i="3"/>
  <c r="V114" i="3"/>
  <c r="S114" i="3"/>
  <c r="D113" i="3"/>
  <c r="AH111" i="3"/>
  <c r="AH113" i="3" s="1"/>
  <c r="AG111" i="3"/>
  <c r="AG113" i="3" s="1"/>
  <c r="AF111" i="3"/>
  <c r="AF113" i="3" s="1"/>
  <c r="AE111" i="3"/>
  <c r="AE113" i="3" s="1"/>
  <c r="AD111" i="3"/>
  <c r="AD113" i="3" s="1"/>
  <c r="AB111" i="3"/>
  <c r="AB113" i="3" s="1"/>
  <c r="S111" i="3"/>
  <c r="D111" i="3"/>
  <c r="Z110" i="3"/>
  <c r="Y110" i="3"/>
  <c r="X110" i="3"/>
  <c r="V110" i="3"/>
  <c r="U110" i="3"/>
  <c r="T110" i="3"/>
  <c r="Q110" i="3"/>
  <c r="P110" i="3"/>
  <c r="O110" i="3"/>
  <c r="N110" i="3"/>
  <c r="M110" i="3"/>
  <c r="L110" i="3"/>
  <c r="E110" i="3"/>
  <c r="D110" i="3"/>
  <c r="AH109" i="3"/>
  <c r="AG109" i="3"/>
  <c r="AF109" i="3"/>
  <c r="AE109" i="3"/>
  <c r="AD109" i="3"/>
  <c r="AB109" i="3"/>
  <c r="S109" i="3"/>
  <c r="AA109" i="3" s="1"/>
  <c r="AC109" i="3" s="1"/>
  <c r="D109" i="3"/>
  <c r="AH107" i="3"/>
  <c r="AG107" i="3"/>
  <c r="AF107" i="3"/>
  <c r="AE107" i="3"/>
  <c r="AD107" i="3"/>
  <c r="AB107" i="3"/>
  <c r="S107" i="3"/>
  <c r="AA107" i="3" s="1"/>
  <c r="AC107" i="3" s="1"/>
  <c r="D107" i="3"/>
  <c r="Z106" i="3"/>
  <c r="Y106" i="3"/>
  <c r="X106" i="3"/>
  <c r="V106" i="3"/>
  <c r="U106" i="3"/>
  <c r="T106" i="3"/>
  <c r="Q106" i="3"/>
  <c r="P106" i="3"/>
  <c r="O106" i="3"/>
  <c r="N106" i="3"/>
  <c r="M106" i="3"/>
  <c r="L106" i="3"/>
  <c r="E106" i="3"/>
  <c r="D106" i="3"/>
  <c r="AH105" i="3"/>
  <c r="AG105" i="3"/>
  <c r="AF105" i="3"/>
  <c r="AD105" i="3"/>
  <c r="AC105" i="3"/>
  <c r="S105" i="3"/>
  <c r="AA105" i="3" s="1"/>
  <c r="AB105" i="3" s="1"/>
  <c r="AE105" i="3" s="1"/>
  <c r="D105" i="3"/>
  <c r="AH102" i="3"/>
  <c r="AG102" i="3"/>
  <c r="AF102" i="3"/>
  <c r="AE102" i="3"/>
  <c r="AD102" i="3"/>
  <c r="AB102" i="3"/>
  <c r="S102" i="3"/>
  <c r="AA102" i="3" s="1"/>
  <c r="AC102" i="3" s="1"/>
  <c r="D102" i="3"/>
  <c r="AH101" i="3"/>
  <c r="AG101" i="3"/>
  <c r="AF101" i="3"/>
  <c r="AD101" i="3"/>
  <c r="AC101" i="3"/>
  <c r="S101" i="3"/>
  <c r="AA101" i="3" s="1"/>
  <c r="AB101" i="3" s="1"/>
  <c r="AE101" i="3" s="1"/>
  <c r="D101" i="3"/>
  <c r="Z97" i="3"/>
  <c r="Y97" i="3"/>
  <c r="X97" i="3"/>
  <c r="O97" i="3"/>
  <c r="N97" i="3"/>
  <c r="M97" i="3"/>
  <c r="L97" i="3"/>
  <c r="E97" i="3"/>
  <c r="D97" i="3"/>
  <c r="AH96" i="3"/>
  <c r="AG96" i="3"/>
  <c r="AE96" i="3"/>
  <c r="AD96" i="3"/>
  <c r="AC96" i="3"/>
  <c r="V96" i="3"/>
  <c r="Q96" i="3"/>
  <c r="P96" i="3"/>
  <c r="E96" i="3"/>
  <c r="D96" i="3"/>
  <c r="AH95" i="3"/>
  <c r="AG95" i="3"/>
  <c r="AE95" i="3"/>
  <c r="AD95" i="3"/>
  <c r="AC95" i="3"/>
  <c r="V95" i="3"/>
  <c r="Q95" i="3"/>
  <c r="P95" i="3"/>
  <c r="E95" i="3"/>
  <c r="D95" i="3"/>
  <c r="Z94" i="3"/>
  <c r="Y94" i="3"/>
  <c r="X94" i="3"/>
  <c r="Q94" i="3"/>
  <c r="P94" i="3"/>
  <c r="O94" i="3"/>
  <c r="N94" i="3"/>
  <c r="M94" i="3"/>
  <c r="L94" i="3"/>
  <c r="E94" i="3"/>
  <c r="D94" i="3"/>
  <c r="AH93" i="3"/>
  <c r="AF93" i="3"/>
  <c r="AE93" i="3"/>
  <c r="AD93" i="3"/>
  <c r="AC93" i="3"/>
  <c r="V93" i="3"/>
  <c r="S93" i="3"/>
  <c r="AH92" i="3"/>
  <c r="AG92" i="3"/>
  <c r="AF92" i="3"/>
  <c r="AD92" i="3"/>
  <c r="AC92" i="3"/>
  <c r="V92" i="3"/>
  <c r="S92" i="3"/>
  <c r="AA92" i="3" s="1"/>
  <c r="Z91" i="3"/>
  <c r="Y91" i="3"/>
  <c r="X91" i="3"/>
  <c r="V91" i="3"/>
  <c r="U91" i="3"/>
  <c r="T91" i="3"/>
  <c r="Q91" i="3"/>
  <c r="P91" i="3"/>
  <c r="O91" i="3"/>
  <c r="N91" i="3"/>
  <c r="M91" i="3"/>
  <c r="L91" i="3"/>
  <c r="E91" i="3"/>
  <c r="D91" i="3"/>
  <c r="AH90" i="3"/>
  <c r="AG90" i="3"/>
  <c r="AF90" i="3"/>
  <c r="AD90" i="3"/>
  <c r="AC90" i="3"/>
  <c r="S90" i="3"/>
  <c r="AA90" i="3" s="1"/>
  <c r="AB90" i="3" s="1"/>
  <c r="AE90" i="3" s="1"/>
  <c r="D90" i="3"/>
  <c r="AH89" i="3"/>
  <c r="AG89" i="3"/>
  <c r="AE89" i="3"/>
  <c r="AD89" i="3"/>
  <c r="AC89" i="3"/>
  <c r="S89" i="3"/>
  <c r="AA89" i="3" s="1"/>
  <c r="AB89" i="3" s="1"/>
  <c r="AF89" i="3" s="1"/>
  <c r="D89" i="3"/>
  <c r="AH88" i="3"/>
  <c r="AG88" i="3"/>
  <c r="AF88" i="3"/>
  <c r="AE88" i="3"/>
  <c r="AD88" i="3"/>
  <c r="AB88" i="3"/>
  <c r="S88" i="3"/>
  <c r="AA88" i="3" s="1"/>
  <c r="AC88" i="3" s="1"/>
  <c r="D88" i="3"/>
  <c r="AH87" i="3"/>
  <c r="AG87" i="3"/>
  <c r="AF87" i="3"/>
  <c r="AE87" i="3"/>
  <c r="AD87" i="3"/>
  <c r="AB87" i="3"/>
  <c r="S87" i="3"/>
  <c r="AA87" i="3" s="1"/>
  <c r="AC87" i="3" s="1"/>
  <c r="D87" i="3"/>
  <c r="AH86" i="3"/>
  <c r="AG86" i="3"/>
  <c r="AF86" i="3"/>
  <c r="AD86" i="3"/>
  <c r="S86" i="3"/>
  <c r="AA86" i="3" s="1"/>
  <c r="AC86" i="3" s="1"/>
  <c r="D86" i="3"/>
  <c r="Z85" i="3"/>
  <c r="Y85" i="3"/>
  <c r="X85" i="3"/>
  <c r="Q85" i="3"/>
  <c r="P85" i="3"/>
  <c r="O85" i="3"/>
  <c r="N85" i="3"/>
  <c r="M85" i="3"/>
  <c r="L85" i="3"/>
  <c r="E85" i="3"/>
  <c r="D85" i="3"/>
  <c r="AH84" i="3"/>
  <c r="AH85" i="3" s="1"/>
  <c r="AG84" i="3"/>
  <c r="AG85" i="3" s="1"/>
  <c r="AF84" i="3"/>
  <c r="AF85" i="3" s="1"/>
  <c r="AE84" i="3"/>
  <c r="AE85" i="3" s="1"/>
  <c r="AD84" i="3"/>
  <c r="AD85" i="3" s="1"/>
  <c r="AB84" i="3"/>
  <c r="AB85" i="3" s="1"/>
  <c r="V84" i="3"/>
  <c r="V85" i="3" s="1"/>
  <c r="S84" i="3"/>
  <c r="AA84" i="3" s="1"/>
  <c r="AC84" i="3" s="1"/>
  <c r="AC85" i="3" s="1"/>
  <c r="D84" i="3"/>
  <c r="Z83" i="3"/>
  <c r="Y83" i="3"/>
  <c r="X83" i="3"/>
  <c r="O83" i="3"/>
  <c r="N83" i="3"/>
  <c r="M83" i="3"/>
  <c r="L83" i="3"/>
  <c r="E83" i="3"/>
  <c r="D83" i="3"/>
  <c r="AH82" i="3"/>
  <c r="AH83" i="3" s="1"/>
  <c r="AG82" i="3"/>
  <c r="AG83" i="3" s="1"/>
  <c r="AF82" i="3"/>
  <c r="AF83" i="3" s="1"/>
  <c r="AE82" i="3"/>
  <c r="AE83" i="3" s="1"/>
  <c r="AD82" i="3"/>
  <c r="AD83" i="3" s="1"/>
  <c r="AB82" i="3"/>
  <c r="AB83" i="3" s="1"/>
  <c r="V82" i="3"/>
  <c r="V83" i="3" s="1"/>
  <c r="Q83" i="3"/>
  <c r="D82" i="3"/>
  <c r="Z81" i="3"/>
  <c r="Y81" i="3"/>
  <c r="X81" i="3"/>
  <c r="O81" i="3"/>
  <c r="N81" i="3"/>
  <c r="M81" i="3"/>
  <c r="L81" i="3"/>
  <c r="E81" i="3"/>
  <c r="D81" i="3"/>
  <c r="AH80" i="3"/>
  <c r="AH81" i="3" s="1"/>
  <c r="AG80" i="3"/>
  <c r="AG81" i="3" s="1"/>
  <c r="AF80" i="3"/>
  <c r="AF81" i="3" s="1"/>
  <c r="AD80" i="3"/>
  <c r="AD81" i="3" s="1"/>
  <c r="V80" i="3"/>
  <c r="V81" i="3" s="1"/>
  <c r="Q80" i="3"/>
  <c r="Q81" i="3" s="1"/>
  <c r="P80" i="3"/>
  <c r="P81" i="3" s="1"/>
  <c r="D80" i="3"/>
  <c r="Z79" i="3"/>
  <c r="Y79" i="3"/>
  <c r="X79" i="3"/>
  <c r="V79" i="3"/>
  <c r="U79" i="3"/>
  <c r="T79" i="3"/>
  <c r="Q79" i="3"/>
  <c r="P79" i="3"/>
  <c r="O79" i="3"/>
  <c r="N79" i="3"/>
  <c r="M79" i="3"/>
  <c r="L79" i="3"/>
  <c r="E79" i="3"/>
  <c r="D79" i="3"/>
  <c r="AH78" i="3"/>
  <c r="AH79" i="3" s="1"/>
  <c r="AG78" i="3"/>
  <c r="AG79" i="3" s="1"/>
  <c r="AF78" i="3"/>
  <c r="AF79" i="3" s="1"/>
  <c r="AE78" i="3"/>
  <c r="AE79" i="3" s="1"/>
  <c r="AD78" i="3"/>
  <c r="AD79" i="3" s="1"/>
  <c r="AB78" i="3"/>
  <c r="AB79" i="3" s="1"/>
  <c r="S78" i="3"/>
  <c r="AA78" i="3" s="1"/>
  <c r="AC78" i="3" s="1"/>
  <c r="AC79" i="3" s="1"/>
  <c r="D78" i="3"/>
  <c r="Z77" i="3"/>
  <c r="Y77" i="3"/>
  <c r="X77" i="3"/>
  <c r="O77" i="3"/>
  <c r="N77" i="3"/>
  <c r="M77" i="3"/>
  <c r="L77" i="3"/>
  <c r="E77" i="3"/>
  <c r="D77" i="3"/>
  <c r="AH76" i="3"/>
  <c r="AH77" i="3" s="1"/>
  <c r="AG76" i="3"/>
  <c r="AG77" i="3" s="1"/>
  <c r="AF76" i="3"/>
  <c r="AF77" i="3" s="1"/>
  <c r="AD76" i="3"/>
  <c r="AD77" i="3" s="1"/>
  <c r="V76" i="3"/>
  <c r="V77" i="3" s="1"/>
  <c r="Q76" i="3"/>
  <c r="Q77" i="3" s="1"/>
  <c r="P76" i="3"/>
  <c r="D76" i="3"/>
  <c r="Z75" i="3"/>
  <c r="Y75" i="3"/>
  <c r="X75" i="3"/>
  <c r="O75" i="3"/>
  <c r="N75" i="3"/>
  <c r="M75" i="3"/>
  <c r="L75" i="3"/>
  <c r="E75" i="3"/>
  <c r="D75" i="3"/>
  <c r="AH74" i="3"/>
  <c r="AH75" i="3" s="1"/>
  <c r="AG74" i="3"/>
  <c r="AG75" i="3" s="1"/>
  <c r="AF74" i="3"/>
  <c r="AF75" i="3" s="1"/>
  <c r="AE74" i="3"/>
  <c r="AE75" i="3" s="1"/>
  <c r="AD74" i="3"/>
  <c r="AD75" i="3" s="1"/>
  <c r="AB74" i="3"/>
  <c r="AB75" i="3" s="1"/>
  <c r="V74" i="3"/>
  <c r="V75" i="3" s="1"/>
  <c r="Q74" i="3"/>
  <c r="P74" i="3"/>
  <c r="P75" i="3" s="1"/>
  <c r="E74" i="3"/>
  <c r="D74" i="3"/>
  <c r="Z73" i="3"/>
  <c r="Y73" i="3"/>
  <c r="X73" i="3"/>
  <c r="Q73" i="3"/>
  <c r="P73" i="3"/>
  <c r="O73" i="3"/>
  <c r="N73" i="3"/>
  <c r="M73" i="3"/>
  <c r="L73" i="3"/>
  <c r="E73" i="3"/>
  <c r="D73" i="3"/>
  <c r="AH72" i="3"/>
  <c r="AH73" i="3" s="1"/>
  <c r="AG72" i="3"/>
  <c r="AG73" i="3" s="1"/>
  <c r="AD72" i="3"/>
  <c r="AD73" i="3" s="1"/>
  <c r="AC72" i="3"/>
  <c r="AC73" i="3" s="1"/>
  <c r="V72" i="3"/>
  <c r="V73" i="3" s="1"/>
  <c r="S72" i="3"/>
  <c r="D72" i="3"/>
  <c r="Z71" i="3"/>
  <c r="Y71" i="3"/>
  <c r="X71" i="3"/>
  <c r="O71" i="3"/>
  <c r="N71" i="3"/>
  <c r="M71" i="3"/>
  <c r="L71" i="3"/>
  <c r="E71" i="3"/>
  <c r="D71" i="3"/>
  <c r="AH70" i="3"/>
  <c r="AG70" i="3"/>
  <c r="AF70" i="3"/>
  <c r="AE70" i="3"/>
  <c r="AD70" i="3"/>
  <c r="AB70" i="3"/>
  <c r="V70" i="3"/>
  <c r="R70" i="3"/>
  <c r="Q70" i="3"/>
  <c r="P70" i="3"/>
  <c r="D70" i="3"/>
  <c r="AH69" i="3"/>
  <c r="AG69" i="3"/>
  <c r="AF69" i="3"/>
  <c r="AE69" i="3"/>
  <c r="AD69" i="3"/>
  <c r="AB69" i="3"/>
  <c r="V69" i="3"/>
  <c r="R69" i="3"/>
  <c r="Q69" i="3"/>
  <c r="P69" i="3"/>
  <c r="D69" i="3"/>
  <c r="Z68" i="3"/>
  <c r="Y68" i="3"/>
  <c r="X68" i="3"/>
  <c r="Q68" i="3"/>
  <c r="P68" i="3"/>
  <c r="O68" i="3"/>
  <c r="N68" i="3"/>
  <c r="M68" i="3"/>
  <c r="L68" i="3"/>
  <c r="E68" i="3"/>
  <c r="D68" i="3"/>
  <c r="AH67" i="3"/>
  <c r="AG67" i="3"/>
  <c r="AF67" i="3"/>
  <c r="AE67" i="3"/>
  <c r="AD67" i="3"/>
  <c r="AB67" i="3"/>
  <c r="V67" i="3"/>
  <c r="S67" i="3"/>
  <c r="AA67" i="3" s="1"/>
  <c r="AC67" i="3" s="1"/>
  <c r="E67" i="3"/>
  <c r="AH66" i="3"/>
  <c r="AG66" i="3"/>
  <c r="AF66" i="3"/>
  <c r="AE66" i="3"/>
  <c r="AD66" i="3"/>
  <c r="AB66" i="3"/>
  <c r="V66" i="3"/>
  <c r="S66" i="3"/>
  <c r="E66" i="3"/>
  <c r="Z65" i="3"/>
  <c r="Y65" i="3"/>
  <c r="X65" i="3"/>
  <c r="V65" i="3"/>
  <c r="U65" i="3"/>
  <c r="T65" i="3"/>
  <c r="Q65" i="3"/>
  <c r="P65" i="3"/>
  <c r="O65" i="3"/>
  <c r="N65" i="3"/>
  <c r="M65" i="3"/>
  <c r="L65" i="3"/>
  <c r="E65" i="3"/>
  <c r="D65" i="3"/>
  <c r="AH64" i="3"/>
  <c r="AF64" i="3"/>
  <c r="AE64" i="3"/>
  <c r="AD64" i="3"/>
  <c r="AC64" i="3"/>
  <c r="S64" i="3"/>
  <c r="AA64" i="3" s="1"/>
  <c r="AB64" i="3" s="1"/>
  <c r="AG64" i="3" s="1"/>
  <c r="D64" i="3"/>
  <c r="AH63" i="3"/>
  <c r="AG63" i="3"/>
  <c r="AF63" i="3"/>
  <c r="AD63" i="3"/>
  <c r="AC63" i="3"/>
  <c r="S63" i="3"/>
  <c r="AA63" i="3" s="1"/>
  <c r="D63" i="3"/>
  <c r="Z62" i="3"/>
  <c r="Y62" i="3"/>
  <c r="X62" i="3"/>
  <c r="Q62" i="3"/>
  <c r="P62" i="3"/>
  <c r="O62" i="3"/>
  <c r="N62" i="3"/>
  <c r="M62" i="3"/>
  <c r="L62" i="3"/>
  <c r="E62" i="3"/>
  <c r="D62" i="3"/>
  <c r="AH61" i="3"/>
  <c r="AH62" i="3" s="1"/>
  <c r="AG61" i="3"/>
  <c r="AG62" i="3" s="1"/>
  <c r="AF61" i="3"/>
  <c r="AF62" i="3" s="1"/>
  <c r="AE61" i="3"/>
  <c r="AE62" i="3" s="1"/>
  <c r="AD61" i="3"/>
  <c r="AD62" i="3" s="1"/>
  <c r="AB61" i="3"/>
  <c r="AB62" i="3" s="1"/>
  <c r="V61" i="3"/>
  <c r="V62" i="3" s="1"/>
  <c r="S61" i="3"/>
  <c r="D61" i="3"/>
  <c r="Z60" i="3"/>
  <c r="Y60" i="3"/>
  <c r="X60" i="3"/>
  <c r="Q60" i="3"/>
  <c r="P60" i="3"/>
  <c r="O60" i="3"/>
  <c r="N60" i="3"/>
  <c r="M60" i="3"/>
  <c r="L60" i="3"/>
  <c r="E60" i="3"/>
  <c r="D60" i="3"/>
  <c r="AH59" i="3"/>
  <c r="AH60" i="3" s="1"/>
  <c r="AF59" i="3"/>
  <c r="AF60" i="3" s="1"/>
  <c r="AE59" i="3"/>
  <c r="AE60" i="3" s="1"/>
  <c r="AD59" i="3"/>
  <c r="AD60" i="3" s="1"/>
  <c r="AC59" i="3"/>
  <c r="AC60" i="3" s="1"/>
  <c r="V59" i="3"/>
  <c r="V60" i="3" s="1"/>
  <c r="S59" i="3"/>
  <c r="D59" i="3"/>
  <c r="Z58" i="3"/>
  <c r="Y58" i="3"/>
  <c r="X58" i="3"/>
  <c r="O58" i="3"/>
  <c r="N58" i="3"/>
  <c r="M58" i="3"/>
  <c r="L58" i="3"/>
  <c r="E58" i="3"/>
  <c r="D58" i="3"/>
  <c r="AH57" i="3"/>
  <c r="AH58" i="3" s="1"/>
  <c r="AG57" i="3"/>
  <c r="AG58" i="3" s="1"/>
  <c r="AF57" i="3"/>
  <c r="AF58" i="3" s="1"/>
  <c r="AE57" i="3"/>
  <c r="AE58" i="3" s="1"/>
  <c r="AD57" i="3"/>
  <c r="AD58" i="3" s="1"/>
  <c r="AB57" i="3"/>
  <c r="AB58" i="3" s="1"/>
  <c r="V57" i="3"/>
  <c r="V58" i="3" s="1"/>
  <c r="Q57" i="3"/>
  <c r="Q58" i="3" s="1"/>
  <c r="P57" i="3"/>
  <c r="E57" i="3"/>
  <c r="D57" i="3"/>
  <c r="Z56" i="3"/>
  <c r="Y56" i="3"/>
  <c r="X56" i="3"/>
  <c r="Q56" i="3"/>
  <c r="P56" i="3"/>
  <c r="O56" i="3"/>
  <c r="N56" i="3"/>
  <c r="M56" i="3"/>
  <c r="L56" i="3"/>
  <c r="E56" i="3"/>
  <c r="D56" i="3"/>
  <c r="AH55" i="3"/>
  <c r="AG55" i="3"/>
  <c r="AF55" i="3"/>
  <c r="AE55" i="3"/>
  <c r="AD55" i="3"/>
  <c r="AB55" i="3"/>
  <c r="S55" i="3"/>
  <c r="AA55" i="3" s="1"/>
  <c r="AC55" i="3" s="1"/>
  <c r="D55" i="3"/>
  <c r="AH54" i="3"/>
  <c r="AG54" i="3"/>
  <c r="AD54" i="3"/>
  <c r="AC54" i="3"/>
  <c r="S54" i="3"/>
  <c r="AA54" i="3" s="1"/>
  <c r="AB54" i="3" s="1"/>
  <c r="AF54" i="3" s="1"/>
  <c r="AH53" i="3"/>
  <c r="AG53" i="3"/>
  <c r="AF53" i="3"/>
  <c r="AD53" i="3"/>
  <c r="V53" i="3"/>
  <c r="V56" i="3" s="1"/>
  <c r="S53" i="3"/>
  <c r="D53" i="3"/>
  <c r="Z52" i="3"/>
  <c r="Y52" i="3"/>
  <c r="X52" i="3"/>
  <c r="O52" i="3"/>
  <c r="N52" i="3"/>
  <c r="M52" i="3"/>
  <c r="L52" i="3"/>
  <c r="E52" i="3"/>
  <c r="D52" i="3"/>
  <c r="AH51" i="3"/>
  <c r="AH52" i="3" s="1"/>
  <c r="AG51" i="3"/>
  <c r="AG52" i="3" s="1"/>
  <c r="AF51" i="3"/>
  <c r="AF52" i="3" s="1"/>
  <c r="AE51" i="3"/>
  <c r="AE52" i="3" s="1"/>
  <c r="AD51" i="3"/>
  <c r="AD52" i="3" s="1"/>
  <c r="AB51" i="3"/>
  <c r="AB52" i="3" s="1"/>
  <c r="V51" i="3"/>
  <c r="V52" i="3" s="1"/>
  <c r="Q51" i="3"/>
  <c r="Q52" i="3" s="1"/>
  <c r="P51" i="3"/>
  <c r="E51" i="3"/>
  <c r="D51" i="3"/>
  <c r="Z50" i="3"/>
  <c r="Y50" i="3"/>
  <c r="X50" i="3"/>
  <c r="Q50" i="3"/>
  <c r="P50" i="3"/>
  <c r="O50" i="3"/>
  <c r="N50" i="3"/>
  <c r="M50" i="3"/>
  <c r="L50" i="3"/>
  <c r="E50" i="3"/>
  <c r="D50" i="3"/>
  <c r="AH49" i="3"/>
  <c r="AH50" i="3" s="1"/>
  <c r="AG49" i="3"/>
  <c r="AG50" i="3" s="1"/>
  <c r="AF49" i="3"/>
  <c r="AF50" i="3" s="1"/>
  <c r="AE49" i="3"/>
  <c r="AE50" i="3" s="1"/>
  <c r="AD49" i="3"/>
  <c r="AD50" i="3" s="1"/>
  <c r="AB49" i="3"/>
  <c r="AB50" i="3" s="1"/>
  <c r="V49" i="3"/>
  <c r="V50" i="3" s="1"/>
  <c r="S49" i="3"/>
  <c r="D49" i="3"/>
  <c r="Z48" i="3"/>
  <c r="Y48" i="3"/>
  <c r="X48" i="3"/>
  <c r="Q48" i="3"/>
  <c r="P48" i="3"/>
  <c r="O48" i="3"/>
  <c r="N48" i="3"/>
  <c r="M48" i="3"/>
  <c r="L48" i="3"/>
  <c r="E48" i="3"/>
  <c r="D48" i="3"/>
  <c r="AH47" i="3"/>
  <c r="AH48" i="3" s="1"/>
  <c r="AG47" i="3"/>
  <c r="AG48" i="3" s="1"/>
  <c r="AF47" i="3"/>
  <c r="AF48" i="3" s="1"/>
  <c r="AE47" i="3"/>
  <c r="AE48" i="3" s="1"/>
  <c r="AD47" i="3"/>
  <c r="AD48" i="3" s="1"/>
  <c r="AB47" i="3"/>
  <c r="AB48" i="3" s="1"/>
  <c r="V47" i="3"/>
  <c r="V48" i="3" s="1"/>
  <c r="S47" i="3"/>
  <c r="D47" i="3"/>
  <c r="Z46" i="3"/>
  <c r="Y46" i="3"/>
  <c r="X46" i="3"/>
  <c r="O46" i="3"/>
  <c r="N46" i="3"/>
  <c r="M46" i="3"/>
  <c r="L46" i="3"/>
  <c r="E46" i="3"/>
  <c r="D46" i="3"/>
  <c r="AH45" i="3"/>
  <c r="AH46" i="3" s="1"/>
  <c r="AG45" i="3"/>
  <c r="AG46" i="3" s="1"/>
  <c r="AF45" i="3"/>
  <c r="AF46" i="3" s="1"/>
  <c r="AE45" i="3"/>
  <c r="AE46" i="3" s="1"/>
  <c r="AD45" i="3"/>
  <c r="AD46" i="3" s="1"/>
  <c r="AB45" i="3"/>
  <c r="AB46" i="3" s="1"/>
  <c r="V45" i="3"/>
  <c r="V46" i="3" s="1"/>
  <c r="Q45" i="3"/>
  <c r="Q46" i="3" s="1"/>
  <c r="P45" i="3"/>
  <c r="E45" i="3"/>
  <c r="D45" i="3"/>
  <c r="Z44" i="3"/>
  <c r="Y44" i="3"/>
  <c r="X44" i="3"/>
  <c r="O44" i="3"/>
  <c r="N44" i="3"/>
  <c r="M44" i="3"/>
  <c r="L44" i="3"/>
  <c r="E44" i="3"/>
  <c r="D44" i="3"/>
  <c r="AH43" i="3"/>
  <c r="AG43" i="3"/>
  <c r="AF43" i="3"/>
  <c r="AD43" i="3"/>
  <c r="Q43" i="3"/>
  <c r="P43" i="3"/>
  <c r="E43" i="3"/>
  <c r="D43" i="3"/>
  <c r="AH42" i="3"/>
  <c r="AG42" i="3"/>
  <c r="AF42" i="3"/>
  <c r="AE42" i="3"/>
  <c r="AD42" i="3"/>
  <c r="AB42" i="3"/>
  <c r="S42" i="3"/>
  <c r="AA42" i="3" s="1"/>
  <c r="AC42" i="3" s="1"/>
  <c r="E42" i="3"/>
  <c r="D42" i="3"/>
  <c r="AH41" i="3"/>
  <c r="AG41" i="3"/>
  <c r="AF41" i="3"/>
  <c r="AD41" i="3"/>
  <c r="Q41" i="3"/>
  <c r="P41" i="3"/>
  <c r="D41" i="3"/>
  <c r="AH40" i="3"/>
  <c r="AG40" i="3"/>
  <c r="AF40" i="3"/>
  <c r="AE40" i="3"/>
  <c r="AD40" i="3"/>
  <c r="AB40" i="3"/>
  <c r="V40" i="3"/>
  <c r="V44" i="3" s="1"/>
  <c r="Q40" i="3"/>
  <c r="P40" i="3"/>
  <c r="E40" i="3"/>
  <c r="D40" i="3"/>
  <c r="Z39" i="3"/>
  <c r="Y39" i="3"/>
  <c r="X39" i="3"/>
  <c r="O39" i="3"/>
  <c r="N39" i="3"/>
  <c r="M39" i="3"/>
  <c r="L39" i="3"/>
  <c r="E39" i="3"/>
  <c r="D39" i="3"/>
  <c r="AH38" i="3"/>
  <c r="AG38" i="3"/>
  <c r="AF38" i="3"/>
  <c r="AE38" i="3"/>
  <c r="AD38" i="3"/>
  <c r="AB38" i="3"/>
  <c r="S38" i="3"/>
  <c r="AA38" i="3" s="1"/>
  <c r="AC38" i="3" s="1"/>
  <c r="D38" i="3"/>
  <c r="AH37" i="3"/>
  <c r="AG37" i="3"/>
  <c r="AF37" i="3"/>
  <c r="AE37" i="3"/>
  <c r="AD37" i="3"/>
  <c r="AB37" i="3"/>
  <c r="S37" i="3"/>
  <c r="AA37" i="3" s="1"/>
  <c r="AC37" i="3" s="1"/>
  <c r="D37" i="3"/>
  <c r="AH36" i="3"/>
  <c r="AG36" i="3"/>
  <c r="AF36" i="3"/>
  <c r="AD36" i="3"/>
  <c r="AC36" i="3"/>
  <c r="S36" i="3"/>
  <c r="AA36" i="3" s="1"/>
  <c r="AB36" i="3" s="1"/>
  <c r="AE36" i="3" s="1"/>
  <c r="D36" i="3"/>
  <c r="AH35" i="3"/>
  <c r="AG35" i="3"/>
  <c r="AF35" i="3"/>
  <c r="AE35" i="3"/>
  <c r="AD35" i="3"/>
  <c r="AB35" i="3"/>
  <c r="S35" i="3"/>
  <c r="AA35" i="3" s="1"/>
  <c r="AC35" i="3" s="1"/>
  <c r="D35" i="3"/>
  <c r="AH34" i="3"/>
  <c r="AG34" i="3"/>
  <c r="AF34" i="3"/>
  <c r="AE34" i="3"/>
  <c r="AD34" i="3"/>
  <c r="AB34" i="3"/>
  <c r="S34" i="3"/>
  <c r="AA34" i="3" s="1"/>
  <c r="AC34" i="3" s="1"/>
  <c r="D34" i="3"/>
  <c r="AH33" i="3"/>
  <c r="AG33" i="3"/>
  <c r="AF33" i="3"/>
  <c r="AD33" i="3"/>
  <c r="AC33" i="3"/>
  <c r="S33" i="3"/>
  <c r="AA33" i="3" s="1"/>
  <c r="AB33" i="3" s="1"/>
  <c r="AE33" i="3" s="1"/>
  <c r="E33" i="3"/>
  <c r="D33" i="3"/>
  <c r="AH32" i="3"/>
  <c r="AG32" i="3"/>
  <c r="AF32" i="3"/>
  <c r="AE32" i="3"/>
  <c r="AD32" i="3"/>
  <c r="AB32" i="3"/>
  <c r="S32" i="3"/>
  <c r="AA32" i="3" s="1"/>
  <c r="AC32" i="3" s="1"/>
  <c r="E32" i="3"/>
  <c r="D32" i="3"/>
  <c r="AH31" i="3"/>
  <c r="AG31" i="3"/>
  <c r="AF31" i="3"/>
  <c r="AD31" i="3"/>
  <c r="AC31" i="3"/>
  <c r="S31" i="3"/>
  <c r="AA31" i="3" s="1"/>
  <c r="AB31" i="3" s="1"/>
  <c r="AE31" i="3" s="1"/>
  <c r="D31" i="3"/>
  <c r="AH30" i="3"/>
  <c r="AF30" i="3"/>
  <c r="AE30" i="3"/>
  <c r="AD30" i="3"/>
  <c r="AC30" i="3"/>
  <c r="S30" i="3"/>
  <c r="AA30" i="3" s="1"/>
  <c r="AB30" i="3" s="1"/>
  <c r="AG30" i="3" s="1"/>
  <c r="D30" i="3"/>
  <c r="AH29" i="3"/>
  <c r="AG29" i="3"/>
  <c r="AF29" i="3"/>
  <c r="AE29" i="3"/>
  <c r="AD29" i="3"/>
  <c r="AB29" i="3"/>
  <c r="S29" i="3"/>
  <c r="AA29" i="3" s="1"/>
  <c r="AC29" i="3" s="1"/>
  <c r="D29" i="3"/>
  <c r="AH28" i="3"/>
  <c r="AG28" i="3"/>
  <c r="AF28" i="3"/>
  <c r="AE28" i="3"/>
  <c r="AD28" i="3"/>
  <c r="AB28" i="3"/>
  <c r="S28" i="3"/>
  <c r="AA28" i="3" s="1"/>
  <c r="AC28" i="3" s="1"/>
  <c r="D28" i="3"/>
  <c r="AH27" i="3"/>
  <c r="AG27" i="3"/>
  <c r="AF27" i="3"/>
  <c r="AE27" i="3"/>
  <c r="AD27" i="3"/>
  <c r="AB27" i="3"/>
  <c r="S27" i="3"/>
  <c r="AA27" i="3" s="1"/>
  <c r="AC27" i="3" s="1"/>
  <c r="D27" i="3"/>
  <c r="AH26" i="3"/>
  <c r="AG26" i="3"/>
  <c r="AF26" i="3"/>
  <c r="AE26" i="3"/>
  <c r="AD26" i="3"/>
  <c r="AB26" i="3"/>
  <c r="S26" i="3"/>
  <c r="AA26" i="3" s="1"/>
  <c r="AC26" i="3" s="1"/>
  <c r="D26" i="3"/>
  <c r="AH25" i="3"/>
  <c r="AG25" i="3"/>
  <c r="AF25" i="3"/>
  <c r="AD25" i="3"/>
  <c r="S25" i="3"/>
  <c r="AA25" i="3" s="1"/>
  <c r="AB25" i="3" s="1"/>
  <c r="AE25" i="3" s="1"/>
  <c r="E25" i="3"/>
  <c r="D25" i="3"/>
  <c r="AH24" i="3"/>
  <c r="AG24" i="3"/>
  <c r="AF24" i="3"/>
  <c r="AE24" i="3"/>
  <c r="AD24" i="3"/>
  <c r="AB24" i="3"/>
  <c r="S24" i="3"/>
  <c r="AA24" i="3" s="1"/>
  <c r="AC24" i="3" s="1"/>
  <c r="D24" i="3"/>
  <c r="AH23" i="3"/>
  <c r="AG23" i="3"/>
  <c r="AF23" i="3"/>
  <c r="AE23" i="3"/>
  <c r="AD23" i="3"/>
  <c r="AB23" i="3"/>
  <c r="R23" i="3"/>
  <c r="Q23" i="3"/>
  <c r="P23" i="3"/>
  <c r="D23" i="3"/>
  <c r="AH22" i="3"/>
  <c r="AG22" i="3"/>
  <c r="AF22" i="3"/>
  <c r="AE22" i="3"/>
  <c r="AD22" i="3"/>
  <c r="AB22" i="3"/>
  <c r="V22" i="3"/>
  <c r="V39" i="3" s="1"/>
  <c r="Q22" i="3"/>
  <c r="P22" i="3"/>
  <c r="D22" i="3"/>
  <c r="Z21" i="3"/>
  <c r="Y21" i="3"/>
  <c r="X21" i="3"/>
  <c r="O21" i="3"/>
  <c r="N21" i="3"/>
  <c r="M21" i="3"/>
  <c r="L21" i="3"/>
  <c r="E21" i="3"/>
  <c r="D21" i="3"/>
  <c r="AH20" i="3"/>
  <c r="AG20" i="3"/>
  <c r="AF20" i="3"/>
  <c r="AD20" i="3"/>
  <c r="S20" i="3"/>
  <c r="AA20" i="3" s="1"/>
  <c r="AB20" i="3" s="1"/>
  <c r="AE20" i="3" s="1"/>
  <c r="D20" i="3"/>
  <c r="AH19" i="3"/>
  <c r="AG19" i="3"/>
  <c r="AD19" i="3"/>
  <c r="AC19" i="3"/>
  <c r="V19" i="3"/>
  <c r="V21" i="3" s="1"/>
  <c r="R19" i="3"/>
  <c r="Q19" i="3"/>
  <c r="Q21" i="3" s="1"/>
  <c r="P19" i="3"/>
  <c r="P21" i="3" s="1"/>
  <c r="E19" i="3"/>
  <c r="D19" i="3"/>
  <c r="Z18" i="3"/>
  <c r="Y18" i="3"/>
  <c r="X18" i="3"/>
  <c r="R18" i="3"/>
  <c r="Q18" i="3"/>
  <c r="P18" i="3"/>
  <c r="O18" i="3"/>
  <c r="N18" i="3"/>
  <c r="M18" i="3"/>
  <c r="L18" i="3"/>
  <c r="E18" i="3"/>
  <c r="AH17" i="3"/>
  <c r="AG17" i="3"/>
  <c r="AF17" i="3"/>
  <c r="AD17" i="3"/>
  <c r="AC17" i="3"/>
  <c r="S17" i="3"/>
  <c r="AA17" i="3" s="1"/>
  <c r="AB17" i="3" s="1"/>
  <c r="AE17" i="3" s="1"/>
  <c r="D17" i="3"/>
  <c r="AH16" i="3"/>
  <c r="AG16" i="3"/>
  <c r="AF16" i="3"/>
  <c r="AE16" i="3"/>
  <c r="AD16" i="3"/>
  <c r="AB16" i="3"/>
  <c r="V16" i="3"/>
  <c r="V18" i="3" s="1"/>
  <c r="S16" i="3"/>
  <c r="D16" i="3"/>
  <c r="D12" i="3"/>
  <c r="AH10" i="3"/>
  <c r="AH12" i="3" s="1"/>
  <c r="AG10" i="3"/>
  <c r="AG12" i="3" s="1"/>
  <c r="AF10" i="3"/>
  <c r="AF12" i="3" s="1"/>
  <c r="AE10" i="3"/>
  <c r="AE12" i="3" s="1"/>
  <c r="AD10" i="3"/>
  <c r="AD12" i="3" s="1"/>
  <c r="AB10" i="3"/>
  <c r="AB12" i="3" s="1"/>
  <c r="S10" i="3"/>
  <c r="AA10" i="3" s="1"/>
  <c r="D10" i="3"/>
  <c r="Z9" i="3"/>
  <c r="Y9" i="3"/>
  <c r="X9" i="3"/>
  <c r="Q9" i="3"/>
  <c r="P9" i="3"/>
  <c r="O9" i="3"/>
  <c r="N9" i="3"/>
  <c r="M9" i="3"/>
  <c r="L9" i="3"/>
  <c r="E9" i="3"/>
  <c r="D9" i="3"/>
  <c r="AH8" i="3"/>
  <c r="AH9" i="3" s="1"/>
  <c r="AG8" i="3"/>
  <c r="AG9" i="3" s="1"/>
  <c r="AF8" i="3"/>
  <c r="AF9" i="3" s="1"/>
  <c r="AD8" i="3"/>
  <c r="AD9" i="3" s="1"/>
  <c r="V8" i="3"/>
  <c r="V9" i="3" s="1"/>
  <c r="S8" i="3"/>
  <c r="E8" i="3"/>
  <c r="D8" i="3"/>
  <c r="Z7" i="3"/>
  <c r="Y7" i="3"/>
  <c r="X7" i="3"/>
  <c r="O7" i="3"/>
  <c r="N7" i="3"/>
  <c r="M7" i="3"/>
  <c r="L7" i="3"/>
  <c r="E7" i="3"/>
  <c r="D7" i="3"/>
  <c r="AH6" i="3"/>
  <c r="AG6" i="3"/>
  <c r="AF6" i="3"/>
  <c r="AE6" i="3"/>
  <c r="AD6" i="3"/>
  <c r="AB6" i="3"/>
  <c r="V6" i="3"/>
  <c r="AH5" i="3"/>
  <c r="AG5" i="3"/>
  <c r="AF5" i="3"/>
  <c r="AE5" i="3"/>
  <c r="AD5" i="3"/>
  <c r="AB5" i="3"/>
  <c r="V5" i="3"/>
  <c r="E5" i="3"/>
  <c r="AH4" i="3"/>
  <c r="AG4" i="3"/>
  <c r="AF4" i="3"/>
  <c r="AD4" i="3"/>
  <c r="AC4" i="3"/>
  <c r="V4" i="3"/>
  <c r="D4" i="3"/>
  <c r="T1" i="3"/>
  <c r="S283" i="3" l="1"/>
  <c r="AC309" i="3"/>
  <c r="AC310" i="3" s="1"/>
  <c r="AC231" i="3"/>
  <c r="T99" i="3"/>
  <c r="U99" i="3"/>
  <c r="U98" i="3"/>
  <c r="U100" i="3" s="1"/>
  <c r="T98" i="3"/>
  <c r="T100" i="3" s="1"/>
  <c r="T202" i="3"/>
  <c r="U202" i="3"/>
  <c r="AF266" i="3"/>
  <c r="AF267" i="3" s="1"/>
  <c r="AE54" i="3"/>
  <c r="AC164" i="3"/>
  <c r="T203" i="3"/>
  <c r="U203" i="3"/>
  <c r="U240" i="3"/>
  <c r="U242" i="3" s="1"/>
  <c r="T240" i="3"/>
  <c r="T242" i="3" s="1"/>
  <c r="AA111" i="3"/>
  <c r="AA113" i="3" s="1"/>
  <c r="S113" i="3"/>
  <c r="AB217" i="3"/>
  <c r="AE217" i="3" s="1"/>
  <c r="AE219" i="3" s="1"/>
  <c r="AA267" i="3"/>
  <c r="AC166" i="3"/>
  <c r="AC130" i="3"/>
  <c r="AC163" i="3"/>
  <c r="T313" i="3"/>
  <c r="T13" i="3"/>
  <c r="T15" i="3" s="1"/>
  <c r="U311" i="3"/>
  <c r="U312" i="3" s="1"/>
  <c r="T300" i="3"/>
  <c r="T301" i="3" s="1"/>
  <c r="T314" i="3"/>
  <c r="U300" i="3"/>
  <c r="U301" i="3" s="1"/>
  <c r="U314" i="3"/>
  <c r="U13" i="3"/>
  <c r="U15" i="3" s="1"/>
  <c r="T311" i="3"/>
  <c r="T312" i="3" s="1"/>
  <c r="U313" i="3"/>
  <c r="T140" i="3"/>
  <c r="T143" i="3" s="1"/>
  <c r="U93" i="3"/>
  <c r="T259" i="3"/>
  <c r="T260" i="3" s="1"/>
  <c r="U276" i="3"/>
  <c r="U278" i="3" s="1"/>
  <c r="T22" i="3"/>
  <c r="T39" i="3" s="1"/>
  <c r="T51" i="3"/>
  <c r="T52" i="3" s="1"/>
  <c r="T250" i="3"/>
  <c r="T253" i="3"/>
  <c r="T45" i="3"/>
  <c r="T46" i="3" s="1"/>
  <c r="U115" i="3"/>
  <c r="T261" i="3"/>
  <c r="T263" i="3" s="1"/>
  <c r="U4" i="3"/>
  <c r="T120" i="3"/>
  <c r="T290" i="3"/>
  <c r="T291" i="3" s="1"/>
  <c r="T302" i="3"/>
  <c r="T303" i="3" s="1"/>
  <c r="U290" i="3"/>
  <c r="U291" i="3" s="1"/>
  <c r="U179" i="3"/>
  <c r="U180" i="3" s="1"/>
  <c r="T215" i="3"/>
  <c r="U247" i="3"/>
  <c r="T148" i="3"/>
  <c r="U307" i="3"/>
  <c r="T57" i="3"/>
  <c r="T58" i="3" s="1"/>
  <c r="T67" i="3"/>
  <c r="U92" i="3"/>
  <c r="T151" i="3"/>
  <c r="T205" i="3"/>
  <c r="T206" i="3" s="1"/>
  <c r="T6" i="3"/>
  <c r="U16" i="3"/>
  <c r="U18" i="3" s="1"/>
  <c r="U19" i="3"/>
  <c r="U21" i="3" s="1"/>
  <c r="T117" i="3"/>
  <c r="T118" i="3" s="1"/>
  <c r="T304" i="3"/>
  <c r="T305" i="3" s="1"/>
  <c r="T16" i="3"/>
  <c r="T18" i="3" s="1"/>
  <c r="T70" i="3"/>
  <c r="T114" i="3"/>
  <c r="U268" i="3"/>
  <c r="U273" i="3" s="1"/>
  <c r="U279" i="3"/>
  <c r="U283" i="3" s="1"/>
  <c r="U59" i="3"/>
  <c r="U60" i="3" s="1"/>
  <c r="AE176" i="3"/>
  <c r="AE178" i="3" s="1"/>
  <c r="T226" i="3"/>
  <c r="T286" i="3"/>
  <c r="T287" i="3" s="1"/>
  <c r="U309" i="3"/>
  <c r="U310" i="3" s="1"/>
  <c r="T124" i="3"/>
  <c r="T125" i="3" s="1"/>
  <c r="T84" i="3"/>
  <c r="T85" i="3" s="1"/>
  <c r="U96" i="3"/>
  <c r="T149" i="3"/>
  <c r="T74" i="3"/>
  <c r="T75" i="3" s="1"/>
  <c r="T188" i="3"/>
  <c r="T40" i="3"/>
  <c r="T44" i="3" s="1"/>
  <c r="U47" i="3"/>
  <c r="U48" i="3" s="1"/>
  <c r="T179" i="3"/>
  <c r="T180" i="3" s="1"/>
  <c r="T200" i="3"/>
  <c r="T218" i="3"/>
  <c r="T47" i="3"/>
  <c r="T48" i="3" s="1"/>
  <c r="U95" i="3"/>
  <c r="U8" i="3"/>
  <c r="U9" i="3" s="1"/>
  <c r="AB267" i="3"/>
  <c r="AD263" i="3"/>
  <c r="S5" i="3"/>
  <c r="U5" i="3" s="1"/>
  <c r="S45" i="3"/>
  <c r="AA45" i="3" s="1"/>
  <c r="AF296" i="3"/>
  <c r="AD143" i="3"/>
  <c r="S251" i="3"/>
  <c r="AA251" i="3" s="1"/>
  <c r="AC251" i="3" s="1"/>
  <c r="AH299" i="3"/>
  <c r="AG296" i="3"/>
  <c r="V219" i="3"/>
  <c r="AG65" i="3"/>
  <c r="S226" i="3"/>
  <c r="U226" i="3" s="1"/>
  <c r="AA206" i="3"/>
  <c r="AD71" i="3"/>
  <c r="AF68" i="3"/>
  <c r="V68" i="3"/>
  <c r="AD214" i="3"/>
  <c r="AB299" i="3"/>
  <c r="AD18" i="3"/>
  <c r="AH296" i="3"/>
  <c r="AC110" i="3"/>
  <c r="AD116" i="3"/>
  <c r="V97" i="3"/>
  <c r="AB110" i="3"/>
  <c r="AE116" i="3"/>
  <c r="V190" i="3"/>
  <c r="AC214" i="3"/>
  <c r="AD110" i="3"/>
  <c r="AH143" i="3"/>
  <c r="AD153" i="3"/>
  <c r="AH194" i="3"/>
  <c r="AF299" i="3"/>
  <c r="V94" i="3"/>
  <c r="AG150" i="3"/>
  <c r="AE153" i="3"/>
  <c r="AH263" i="3"/>
  <c r="S263" i="3"/>
  <c r="S57" i="3"/>
  <c r="U57" i="3" s="1"/>
  <c r="U58" i="3" s="1"/>
  <c r="S216" i="3"/>
  <c r="AA216" i="3" s="1"/>
  <c r="AC216" i="3" s="1"/>
  <c r="X316" i="3"/>
  <c r="O319" i="3" s="1"/>
  <c r="AD278" i="3"/>
  <c r="AE278" i="3"/>
  <c r="AC270" i="3"/>
  <c r="AC273" i="3" s="1"/>
  <c r="AD219" i="3"/>
  <c r="AA214" i="3"/>
  <c r="V254" i="3"/>
  <c r="AH121" i="3"/>
  <c r="S195" i="3"/>
  <c r="U195" i="3" s="1"/>
  <c r="S250" i="3"/>
  <c r="AA250" i="3" s="1"/>
  <c r="AC250" i="3" s="1"/>
  <c r="S259" i="3"/>
  <c r="U259" i="3" s="1"/>
  <c r="U260" i="3" s="1"/>
  <c r="V228" i="3"/>
  <c r="AH214" i="3"/>
  <c r="Q201" i="3"/>
  <c r="AE214" i="3"/>
  <c r="AE254" i="3"/>
  <c r="AE263" i="3"/>
  <c r="V150" i="3"/>
  <c r="AB214" i="3"/>
  <c r="Q44" i="3"/>
  <c r="AA182" i="3"/>
  <c r="AF263" i="3"/>
  <c r="AF233" i="3"/>
  <c r="AG68" i="3"/>
  <c r="Q71" i="3"/>
  <c r="AD190" i="3"/>
  <c r="AC25" i="3"/>
  <c r="AC20" i="3"/>
  <c r="AC21" i="3" s="1"/>
  <c r="S291" i="3"/>
  <c r="U196" i="3"/>
  <c r="AC196" i="3"/>
  <c r="AC132" i="3"/>
  <c r="S117" i="3"/>
  <c r="AA117" i="3" s="1"/>
  <c r="AC117" i="3" s="1"/>
  <c r="AC118" i="3" s="1"/>
  <c r="S125" i="3"/>
  <c r="S197" i="3"/>
  <c r="U197" i="3" s="1"/>
  <c r="AG233" i="3"/>
  <c r="AG190" i="3"/>
  <c r="AB18" i="3"/>
  <c r="AC94" i="3"/>
  <c r="T119" i="3"/>
  <c r="T257" i="3"/>
  <c r="T258" i="3" s="1"/>
  <c r="U119" i="3"/>
  <c r="T152" i="3"/>
  <c r="T243" i="3"/>
  <c r="T244" i="3" s="1"/>
  <c r="T251" i="3"/>
  <c r="T288" i="3"/>
  <c r="T289" i="3" s="1"/>
  <c r="AG18" i="3"/>
  <c r="U53" i="3"/>
  <c r="U56" i="3" s="1"/>
  <c r="T66" i="3"/>
  <c r="U72" i="3"/>
  <c r="U73" i="3" s="1"/>
  <c r="AH94" i="3"/>
  <c r="AF214" i="3"/>
  <c r="U243" i="3"/>
  <c r="AG273" i="3"/>
  <c r="T274" i="3"/>
  <c r="T275" i="3" s="1"/>
  <c r="T284" i="3"/>
  <c r="T285" i="3" s="1"/>
  <c r="AB296" i="3"/>
  <c r="AE211" i="3"/>
  <c r="AB106" i="3"/>
  <c r="AE190" i="3"/>
  <c r="AH228" i="3"/>
  <c r="T5" i="3"/>
  <c r="AE18" i="3"/>
  <c r="U61" i="3"/>
  <c r="U62" i="3" s="1"/>
  <c r="AE106" i="3"/>
  <c r="U189" i="3"/>
  <c r="AH278" i="3"/>
  <c r="U288" i="3"/>
  <c r="U289" i="3" s="1"/>
  <c r="T306" i="3"/>
  <c r="T61" i="3"/>
  <c r="T62" i="3" s="1"/>
  <c r="T82" i="3"/>
  <c r="T83" i="3" s="1"/>
  <c r="T122" i="3"/>
  <c r="T123" i="3" s="1"/>
  <c r="AG219" i="3"/>
  <c r="AF273" i="3"/>
  <c r="AH18" i="3"/>
  <c r="T49" i="3"/>
  <c r="T50" i="3" s="1"/>
  <c r="T69" i="3"/>
  <c r="T93" i="3"/>
  <c r="AF133" i="3"/>
  <c r="AF139" i="3" s="1"/>
  <c r="AE187" i="3"/>
  <c r="AG214" i="3"/>
  <c r="U222" i="3"/>
  <c r="AG299" i="3"/>
  <c r="AB153" i="3"/>
  <c r="AH106" i="3"/>
  <c r="AE97" i="3"/>
  <c r="AD254" i="3"/>
  <c r="AB263" i="3"/>
  <c r="AE296" i="3"/>
  <c r="V308" i="3"/>
  <c r="AG211" i="3"/>
  <c r="Z316" i="3"/>
  <c r="AF174" i="3"/>
  <c r="S18" i="3"/>
  <c r="AD299" i="3"/>
  <c r="AH187" i="3"/>
  <c r="AD39" i="3"/>
  <c r="AA85" i="3"/>
  <c r="AH91" i="3"/>
  <c r="AG106" i="3"/>
  <c r="AB194" i="3"/>
  <c r="AD201" i="3"/>
  <c r="AD233" i="3"/>
  <c r="AE233" i="3"/>
  <c r="Y316" i="3"/>
  <c r="S198" i="3"/>
  <c r="AA198" i="3" s="1"/>
  <c r="AH97" i="3"/>
  <c r="AG153" i="3"/>
  <c r="S235" i="3"/>
  <c r="AG278" i="3"/>
  <c r="AE299" i="3"/>
  <c r="AH7" i="3"/>
  <c r="P39" i="3"/>
  <c r="AD94" i="3"/>
  <c r="P153" i="3"/>
  <c r="AA256" i="3"/>
  <c r="S267" i="3"/>
  <c r="AC278" i="3"/>
  <c r="AD308" i="3"/>
  <c r="S227" i="3"/>
  <c r="AA227" i="3" s="1"/>
  <c r="AB227" i="3" s="1"/>
  <c r="AE227" i="3" s="1"/>
  <c r="AG178" i="3"/>
  <c r="P228" i="3"/>
  <c r="AF18" i="3"/>
  <c r="Q39" i="3"/>
  <c r="AF39" i="3"/>
  <c r="AD121" i="3"/>
  <c r="AH178" i="3"/>
  <c r="AB190" i="3"/>
  <c r="AB256" i="3"/>
  <c r="AB178" i="3"/>
  <c r="AD178" i="3"/>
  <c r="AB278" i="3"/>
  <c r="AG56" i="3"/>
  <c r="AH116" i="3"/>
  <c r="AE121" i="3"/>
  <c r="S187" i="3"/>
  <c r="AF194" i="3"/>
  <c r="AH211" i="3"/>
  <c r="AG254" i="3"/>
  <c r="AG263" i="3"/>
  <c r="P58" i="3"/>
  <c r="S58" i="3" s="1"/>
  <c r="AH219" i="3"/>
  <c r="AD97" i="3"/>
  <c r="AH150" i="3"/>
  <c r="AD106" i="3"/>
  <c r="P219" i="3"/>
  <c r="AH153" i="3"/>
  <c r="V201" i="3"/>
  <c r="AD296" i="3"/>
  <c r="S19" i="3"/>
  <c r="T19" i="3" s="1"/>
  <c r="T21" i="3" s="1"/>
  <c r="AC97" i="3"/>
  <c r="AG121" i="3"/>
  <c r="AF150" i="3"/>
  <c r="AG194" i="3"/>
  <c r="AF219" i="3"/>
  <c r="S246" i="3"/>
  <c r="AA246" i="3" s="1"/>
  <c r="AB246" i="3" s="1"/>
  <c r="AF246" i="3" s="1"/>
  <c r="AF278" i="3"/>
  <c r="AG308" i="3"/>
  <c r="AA119" i="3"/>
  <c r="AB119" i="3" s="1"/>
  <c r="AF119" i="3" s="1"/>
  <c r="AF121" i="3" s="1"/>
  <c r="AA61" i="3"/>
  <c r="AC61" i="3" s="1"/>
  <c r="AC62" i="3" s="1"/>
  <c r="S121" i="3"/>
  <c r="S156" i="3"/>
  <c r="AA156" i="3" s="1"/>
  <c r="AC156" i="3" s="1"/>
  <c r="S233" i="3"/>
  <c r="S252" i="3"/>
  <c r="AA252" i="3" s="1"/>
  <c r="AC252" i="3" s="1"/>
  <c r="S199" i="3"/>
  <c r="S234" i="3"/>
  <c r="AA234" i="3" s="1"/>
  <c r="S248" i="3"/>
  <c r="AA248" i="3" s="1"/>
  <c r="AB248" i="3" s="1"/>
  <c r="AF248" i="3" s="1"/>
  <c r="AC286" i="3"/>
  <c r="AC287" i="3" s="1"/>
  <c r="S247" i="3"/>
  <c r="AA247" i="3" s="1"/>
  <c r="AB247" i="3" s="1"/>
  <c r="AF247" i="3" s="1"/>
  <c r="U205" i="3"/>
  <c r="U206" i="3" s="1"/>
  <c r="S68" i="3"/>
  <c r="S94" i="3"/>
  <c r="S106" i="3"/>
  <c r="AA288" i="3"/>
  <c r="AC288" i="3" s="1"/>
  <c r="AC289" i="3" s="1"/>
  <c r="T189" i="3"/>
  <c r="AA290" i="3"/>
  <c r="AB290" i="3" s="1"/>
  <c r="S249" i="3"/>
  <c r="AA249" i="3" s="1"/>
  <c r="AB249" i="3" s="1"/>
  <c r="AF249" i="3" s="1"/>
  <c r="AA93" i="3"/>
  <c r="AB93" i="3" s="1"/>
  <c r="AG93" i="3" s="1"/>
  <c r="AG94" i="3" s="1"/>
  <c r="S41" i="3"/>
  <c r="AA41" i="3" s="1"/>
  <c r="AA16" i="3"/>
  <c r="AC16" i="3" s="1"/>
  <c r="AC18" i="3" s="1"/>
  <c r="S81" i="3"/>
  <c r="S207" i="3"/>
  <c r="AA207" i="3" s="1"/>
  <c r="AB207" i="3" s="1"/>
  <c r="AF207" i="3" s="1"/>
  <c r="AF211" i="3" s="1"/>
  <c r="AC142" i="3"/>
  <c r="AC143" i="3" s="1"/>
  <c r="AA143" i="3"/>
  <c r="AD91" i="3"/>
  <c r="AE71" i="3"/>
  <c r="AG71" i="3"/>
  <c r="AC150" i="3"/>
  <c r="AH71" i="3"/>
  <c r="AG91" i="3"/>
  <c r="AD68" i="3"/>
  <c r="AB139" i="3"/>
  <c r="V121" i="3"/>
  <c r="AB150" i="3"/>
  <c r="AF7" i="3"/>
  <c r="AG21" i="3"/>
  <c r="AH65" i="3"/>
  <c r="AE68" i="3"/>
  <c r="AC106" i="3"/>
  <c r="AE110" i="3"/>
  <c r="AE143" i="3"/>
  <c r="V153" i="3"/>
  <c r="AF153" i="3"/>
  <c r="AH39" i="3"/>
  <c r="AA47" i="3"/>
  <c r="AC47" i="3" s="1"/>
  <c r="AC48" i="3" s="1"/>
  <c r="AF65" i="3"/>
  <c r="AH21" i="3"/>
  <c r="AH56" i="3"/>
  <c r="AF56" i="3"/>
  <c r="AC91" i="3"/>
  <c r="AF106" i="3"/>
  <c r="AA106" i="3"/>
  <c r="AG110" i="3"/>
  <c r="AA12" i="3"/>
  <c r="AC11" i="3"/>
  <c r="AB68" i="3"/>
  <c r="AA79" i="3"/>
  <c r="AG7" i="3"/>
  <c r="AF143" i="3"/>
  <c r="AE150" i="3"/>
  <c r="AH110" i="3"/>
  <c r="AG116" i="3"/>
  <c r="S12" i="3"/>
  <c r="AE39" i="3"/>
  <c r="V7" i="3"/>
  <c r="AH44" i="3"/>
  <c r="V71" i="3"/>
  <c r="AB71" i="3"/>
  <c r="AD65" i="3"/>
  <c r="AH68" i="3"/>
  <c r="AE174" i="3"/>
  <c r="AB146" i="3"/>
  <c r="AA147" i="3"/>
  <c r="S155" i="3"/>
  <c r="AH273" i="3"/>
  <c r="P174" i="3"/>
  <c r="S174" i="3" s="1"/>
  <c r="AH201" i="3"/>
  <c r="AC10" i="3"/>
  <c r="AB186" i="3"/>
  <c r="AA187" i="3"/>
  <c r="S73" i="3"/>
  <c r="AC175" i="3"/>
  <c r="AC178" i="3" s="1"/>
  <c r="AA178" i="3"/>
  <c r="AA307" i="3"/>
  <c r="AB307" i="3" s="1"/>
  <c r="T307" i="3"/>
  <c r="AC191" i="3"/>
  <c r="AC194" i="3" s="1"/>
  <c r="AA194" i="3"/>
  <c r="AB174" i="3"/>
  <c r="AG201" i="3"/>
  <c r="AB92" i="3"/>
  <c r="S76" i="3"/>
  <c r="T76" i="3" s="1"/>
  <c r="T77" i="3" s="1"/>
  <c r="P77" i="3"/>
  <c r="S77" i="3" s="1"/>
  <c r="AB183" i="3"/>
  <c r="AA184" i="3"/>
  <c r="AF94" i="3"/>
  <c r="P71" i="3"/>
  <c r="S69" i="3"/>
  <c r="AA69" i="3" s="1"/>
  <c r="AA110" i="3"/>
  <c r="AC208" i="3"/>
  <c r="AC211" i="3" s="1"/>
  <c r="Q75" i="3"/>
  <c r="S75" i="3" s="1"/>
  <c r="S74" i="3"/>
  <c r="U74" i="3" s="1"/>
  <c r="U75" i="3" s="1"/>
  <c r="AD174" i="3"/>
  <c r="S244" i="3"/>
  <c r="AC297" i="3"/>
  <c r="AC299" i="3" s="1"/>
  <c r="AA299" i="3"/>
  <c r="S299" i="3"/>
  <c r="AF190" i="3"/>
  <c r="AF201" i="3"/>
  <c r="AB236" i="3"/>
  <c r="AA237" i="3"/>
  <c r="AH254" i="3"/>
  <c r="AC229" i="3"/>
  <c r="AC233" i="3" s="1"/>
  <c r="AA233" i="3"/>
  <c r="S4" i="3"/>
  <c r="T4" i="3" s="1"/>
  <c r="P7" i="3"/>
  <c r="AA115" i="3"/>
  <c r="AB115" i="3" s="1"/>
  <c r="AF115" i="3" s="1"/>
  <c r="AF116" i="3" s="1"/>
  <c r="T115" i="3"/>
  <c r="AA120" i="3"/>
  <c r="U120" i="3"/>
  <c r="S147" i="3"/>
  <c r="S221" i="3"/>
  <c r="S256" i="3"/>
  <c r="AB63" i="3"/>
  <c r="AA65" i="3"/>
  <c r="AA136" i="3"/>
  <c r="S214" i="3"/>
  <c r="AD21" i="3"/>
  <c r="AB39" i="3"/>
  <c r="AC65" i="3"/>
  <c r="AB86" i="3"/>
  <c r="AA91" i="3"/>
  <c r="AG97" i="3"/>
  <c r="AA124" i="3"/>
  <c r="U124" i="3"/>
  <c r="U125" i="3" s="1"/>
  <c r="AB145" i="3"/>
  <c r="AA150" i="3"/>
  <c r="S184" i="3"/>
  <c r="S239" i="3"/>
  <c r="AA296" i="3"/>
  <c r="T309" i="3"/>
  <c r="T310" i="3" s="1"/>
  <c r="N316" i="3"/>
  <c r="AD44" i="3"/>
  <c r="AD211" i="3"/>
  <c r="T279" i="3"/>
  <c r="T283" i="3" s="1"/>
  <c r="AA279" i="3"/>
  <c r="AA264" i="3"/>
  <c r="AA72" i="3"/>
  <c r="T72" i="3"/>
  <c r="T73" i="3" s="1"/>
  <c r="AB233" i="3"/>
  <c r="S22" i="3"/>
  <c r="U22" i="3" s="1"/>
  <c r="U39" i="3" s="1"/>
  <c r="Q7" i="3"/>
  <c r="U66" i="3"/>
  <c r="AA66" i="3"/>
  <c r="AA306" i="3"/>
  <c r="U306" i="3"/>
  <c r="U257" i="3"/>
  <c r="U258" i="3" s="1"/>
  <c r="AA257" i="3"/>
  <c r="AH139" i="3"/>
  <c r="U148" i="3"/>
  <c r="AA179" i="3"/>
  <c r="S91" i="3"/>
  <c r="AC296" i="3"/>
  <c r="S40" i="3"/>
  <c r="P44" i="3"/>
  <c r="AF71" i="3"/>
  <c r="AC154" i="3"/>
  <c r="AC155" i="3" s="1"/>
  <c r="AA155" i="3"/>
  <c r="Q228" i="3"/>
  <c r="AG143" i="3"/>
  <c r="AA145" i="3"/>
  <c r="S190" i="3"/>
  <c r="M316" i="3"/>
  <c r="T53" i="3"/>
  <c r="T56" i="3" s="1"/>
  <c r="AA53" i="3"/>
  <c r="AC53" i="3" s="1"/>
  <c r="AD7" i="3"/>
  <c r="O316" i="3"/>
  <c r="P46" i="3"/>
  <c r="S46" i="3" s="1"/>
  <c r="AF44" i="3"/>
  <c r="AF91" i="3"/>
  <c r="S182" i="3"/>
  <c r="AD228" i="3"/>
  <c r="S238" i="3"/>
  <c r="P254" i="3"/>
  <c r="S303" i="3"/>
  <c r="AA304" i="3"/>
  <c r="U304" i="3"/>
  <c r="U305" i="3" s="1"/>
  <c r="AB309" i="3"/>
  <c r="AH308" i="3"/>
  <c r="AG39" i="3"/>
  <c r="S51" i="3"/>
  <c r="U51" i="3" s="1"/>
  <c r="U52" i="3" s="1"/>
  <c r="P52" i="3"/>
  <c r="S52" i="3" s="1"/>
  <c r="S70" i="3"/>
  <c r="AA70" i="3" s="1"/>
  <c r="AC70" i="3" s="1"/>
  <c r="S79" i="3"/>
  <c r="Q97" i="3"/>
  <c r="AF178" i="3"/>
  <c r="AD187" i="3"/>
  <c r="AC188" i="3"/>
  <c r="AC190" i="3" s="1"/>
  <c r="AA190" i="3"/>
  <c r="S116" i="3"/>
  <c r="S139" i="3"/>
  <c r="AD150" i="3"/>
  <c r="AG174" i="3"/>
  <c r="AG187" i="3"/>
  <c r="AD56" i="3"/>
  <c r="S62" i="3"/>
  <c r="S152" i="3"/>
  <c r="AA152" i="3" s="1"/>
  <c r="AC152" i="3" s="1"/>
  <c r="Q153" i="3"/>
  <c r="Q254" i="3"/>
  <c r="AF228" i="3"/>
  <c r="AH233" i="3"/>
  <c r="S245" i="3"/>
  <c r="AA245" i="3" s="1"/>
  <c r="S48" i="3"/>
  <c r="V116" i="3"/>
  <c r="AH174" i="3"/>
  <c r="S268" i="3"/>
  <c r="AA268" i="3" s="1"/>
  <c r="Q273" i="3"/>
  <c r="S273" i="3" s="1"/>
  <c r="E316" i="3"/>
  <c r="S21" i="3"/>
  <c r="P83" i="3"/>
  <c r="S83" i="3" s="1"/>
  <c r="S82" i="3"/>
  <c r="AF110" i="3"/>
  <c r="L316" i="3"/>
  <c r="S23" i="3"/>
  <c r="AA23" i="3" s="1"/>
  <c r="AC23" i="3" s="1"/>
  <c r="AG44" i="3"/>
  <c r="S65" i="3"/>
  <c r="S80" i="3"/>
  <c r="P118" i="3"/>
  <c r="S118" i="3" s="1"/>
  <c r="S143" i="3"/>
  <c r="S178" i="3"/>
  <c r="S206" i="3"/>
  <c r="AG228" i="3"/>
  <c r="S237" i="3"/>
  <c r="S110" i="3"/>
  <c r="S145" i="3"/>
  <c r="AH190" i="3"/>
  <c r="S275" i="3"/>
  <c r="S287" i="3"/>
  <c r="AD194" i="3"/>
  <c r="S258" i="3"/>
  <c r="AE308" i="3"/>
  <c r="AC56" i="3"/>
  <c r="S122" i="3"/>
  <c r="U122" i="3" s="1"/>
  <c r="U123" i="3" s="1"/>
  <c r="P123" i="3"/>
  <c r="S123" i="3" s="1"/>
  <c r="AB143" i="3"/>
  <c r="AC187" i="3"/>
  <c r="AE194" i="3"/>
  <c r="S285" i="3"/>
  <c r="S296" i="3"/>
  <c r="S95" i="3"/>
  <c r="AA95" i="3" s="1"/>
  <c r="P97" i="3"/>
  <c r="S150" i="3"/>
  <c r="P201" i="3"/>
  <c r="S222" i="3"/>
  <c r="AD273" i="3"/>
  <c r="AA278" i="3"/>
  <c r="S308" i="3"/>
  <c r="S9" i="3"/>
  <c r="S50" i="3"/>
  <c r="S180" i="3"/>
  <c r="S215" i="3"/>
  <c r="U215" i="3" s="1"/>
  <c r="S218" i="3"/>
  <c r="AA218" i="3" s="1"/>
  <c r="AC218" i="3" s="1"/>
  <c r="Q219" i="3"/>
  <c r="S253" i="3"/>
  <c r="AA253" i="3" s="1"/>
  <c r="AC253" i="3" s="1"/>
  <c r="S56" i="3"/>
  <c r="S151" i="3"/>
  <c r="U151" i="3" s="1"/>
  <c r="S194" i="3"/>
  <c r="S220" i="3"/>
  <c r="P260" i="3"/>
  <c r="S260" i="3" s="1"/>
  <c r="T195" i="3"/>
  <c r="AE139" i="3"/>
  <c r="T92" i="3"/>
  <c r="U84" i="3"/>
  <c r="U85" i="3" s="1"/>
  <c r="AA59" i="3"/>
  <c r="T59" i="3"/>
  <c r="T60" i="3" s="1"/>
  <c r="T196" i="3"/>
  <c r="AA284" i="3"/>
  <c r="U284" i="3"/>
  <c r="U285" i="3" s="1"/>
  <c r="AA8" i="3"/>
  <c r="AC8" i="3" s="1"/>
  <c r="AC9" i="3" s="1"/>
  <c r="T8" i="3"/>
  <c r="T9" i="3" s="1"/>
  <c r="AA302" i="3"/>
  <c r="U302" i="3"/>
  <c r="U303" i="3" s="1"/>
  <c r="U188" i="3"/>
  <c r="AD139" i="3"/>
  <c r="AA114" i="3"/>
  <c r="U114" i="3"/>
  <c r="AA200" i="3"/>
  <c r="AC200" i="3" s="1"/>
  <c r="U200" i="3"/>
  <c r="AA274" i="3"/>
  <c r="U274" i="3"/>
  <c r="U275" i="3" s="1"/>
  <c r="S278" i="3"/>
  <c r="S6" i="3"/>
  <c r="S60" i="3"/>
  <c r="S85" i="3"/>
  <c r="U140" i="3"/>
  <c r="U143" i="3" s="1"/>
  <c r="S310" i="3"/>
  <c r="T197" i="3"/>
  <c r="U149" i="3"/>
  <c r="S289" i="3"/>
  <c r="AG139" i="3"/>
  <c r="T198" i="3"/>
  <c r="AA49" i="3"/>
  <c r="U49" i="3"/>
  <c r="U50" i="3" s="1"/>
  <c r="U67" i="3"/>
  <c r="S43" i="3"/>
  <c r="AA43" i="3" s="1"/>
  <c r="S96" i="3"/>
  <c r="AA261" i="3"/>
  <c r="U261" i="3"/>
  <c r="U263" i="3" s="1"/>
  <c r="S305" i="3"/>
  <c r="AA243" i="3"/>
  <c r="AC243" i="3" s="1"/>
  <c r="AC244" i="3" s="1"/>
  <c r="T276" i="3"/>
  <c r="T278" i="3" s="1"/>
  <c r="U286" i="3"/>
  <c r="U287" i="3" s="1"/>
  <c r="AC279" i="3" l="1"/>
  <c r="AC283" i="3" s="1"/>
  <c r="AA283" i="3"/>
  <c r="U204" i="3"/>
  <c r="T204" i="3"/>
  <c r="AB234" i="3"/>
  <c r="AC234" i="3"/>
  <c r="AC235" i="3" s="1"/>
  <c r="AC111" i="3"/>
  <c r="AC113" i="3" s="1"/>
  <c r="U308" i="3"/>
  <c r="T150" i="3"/>
  <c r="U315" i="3"/>
  <c r="AC174" i="3"/>
  <c r="AB219" i="3"/>
  <c r="T219" i="3"/>
  <c r="T153" i="3"/>
  <c r="T68" i="3"/>
  <c r="U94" i="3"/>
  <c r="U45" i="3"/>
  <c r="U46" i="3" s="1"/>
  <c r="U97" i="3"/>
  <c r="U116" i="3"/>
  <c r="T190" i="3"/>
  <c r="AA226" i="3"/>
  <c r="AC226" i="3" s="1"/>
  <c r="AA5" i="3"/>
  <c r="AC5" i="3" s="1"/>
  <c r="AB43" i="3"/>
  <c r="AE43" i="3" s="1"/>
  <c r="AC43" i="3"/>
  <c r="T71" i="3"/>
  <c r="T116" i="3"/>
  <c r="T121" i="3"/>
  <c r="T315" i="3"/>
  <c r="U251" i="3"/>
  <c r="AA118" i="3"/>
  <c r="S71" i="3"/>
  <c r="AA57" i="3"/>
  <c r="AC57" i="3" s="1"/>
  <c r="AC58" i="3" s="1"/>
  <c r="AA62" i="3"/>
  <c r="AA235" i="3"/>
  <c r="T308" i="3"/>
  <c r="AA289" i="3"/>
  <c r="T94" i="3"/>
  <c r="U190" i="3"/>
  <c r="U117" i="3"/>
  <c r="U118" i="3" s="1"/>
  <c r="S44" i="3"/>
  <c r="AB121" i="3"/>
  <c r="U121" i="3"/>
  <c r="S39" i="3"/>
  <c r="S153" i="3"/>
  <c r="AA259" i="3"/>
  <c r="AC259" i="3" s="1"/>
  <c r="AC260" i="3" s="1"/>
  <c r="U218" i="3"/>
  <c r="U219" i="3" s="1"/>
  <c r="U250" i="3"/>
  <c r="S254" i="3"/>
  <c r="AA195" i="3"/>
  <c r="AC195" i="3" s="1"/>
  <c r="AA174" i="3"/>
  <c r="AA291" i="3"/>
  <c r="S201" i="3"/>
  <c r="AA122" i="3"/>
  <c r="AC122" i="3" s="1"/>
  <c r="AC123" i="3" s="1"/>
  <c r="AA215" i="3"/>
  <c r="AC215" i="3" s="1"/>
  <c r="AC219" i="3" s="1"/>
  <c r="AA238" i="3"/>
  <c r="AC238" i="3" s="1"/>
  <c r="AC239" i="3" s="1"/>
  <c r="U238" i="3"/>
  <c r="U239" i="3" s="1"/>
  <c r="U198" i="3"/>
  <c r="AA80" i="3"/>
  <c r="AC80" i="3" s="1"/>
  <c r="AC81" i="3" s="1"/>
  <c r="U80" i="3"/>
  <c r="U81" i="3" s="1"/>
  <c r="AB198" i="3"/>
  <c r="AE198" i="3" s="1"/>
  <c r="AC198" i="3"/>
  <c r="AA220" i="3"/>
  <c r="AC220" i="3" s="1"/>
  <c r="U220" i="3"/>
  <c r="AA199" i="3"/>
  <c r="U199" i="3"/>
  <c r="AB41" i="3"/>
  <c r="AE41" i="3" s="1"/>
  <c r="AC41" i="3"/>
  <c r="S228" i="3"/>
  <c r="AA197" i="3"/>
  <c r="AA221" i="3"/>
  <c r="U221" i="3"/>
  <c r="U76" i="3"/>
  <c r="U77" i="3" s="1"/>
  <c r="T247" i="3"/>
  <c r="T254" i="3" s="1"/>
  <c r="Q316" i="3"/>
  <c r="T95" i="3"/>
  <c r="AB211" i="3"/>
  <c r="P316" i="3"/>
  <c r="AA94" i="3"/>
  <c r="AA19" i="3"/>
  <c r="AA21" i="3" s="1"/>
  <c r="AA18" i="3"/>
  <c r="U150" i="3"/>
  <c r="AC254" i="3"/>
  <c r="T199" i="3"/>
  <c r="T201" i="3" s="1"/>
  <c r="S219" i="3"/>
  <c r="S211" i="3"/>
  <c r="AA211" i="3"/>
  <c r="T221" i="3"/>
  <c r="U69" i="3"/>
  <c r="S97" i="3"/>
  <c r="AA51" i="3"/>
  <c r="AC51" i="3" s="1"/>
  <c r="AC52" i="3" s="1"/>
  <c r="T220" i="3"/>
  <c r="AH316" i="3"/>
  <c r="AC12" i="3"/>
  <c r="AA48" i="3"/>
  <c r="AB116" i="3"/>
  <c r="V316" i="3"/>
  <c r="AA76" i="3"/>
  <c r="U70" i="3"/>
  <c r="AD316" i="3"/>
  <c r="U68" i="3"/>
  <c r="AB268" i="3"/>
  <c r="AA273" i="3"/>
  <c r="T7" i="3"/>
  <c r="AC302" i="3"/>
  <c r="AC303" i="3" s="1"/>
  <c r="AA303" i="3"/>
  <c r="S7" i="3"/>
  <c r="AC49" i="3"/>
  <c r="AC50" i="3" s="1"/>
  <c r="AA50" i="3"/>
  <c r="AB310" i="3"/>
  <c r="AE309" i="3"/>
  <c r="AE310" i="3" s="1"/>
  <c r="AC66" i="3"/>
  <c r="AC68" i="3" s="1"/>
  <c r="AA68" i="3"/>
  <c r="AA56" i="3"/>
  <c r="AB53" i="3"/>
  <c r="U40" i="3"/>
  <c r="U44" i="3" s="1"/>
  <c r="AA40" i="3"/>
  <c r="T268" i="3"/>
  <c r="T273" i="3" s="1"/>
  <c r="AB245" i="3"/>
  <c r="AA254" i="3"/>
  <c r="AC304" i="3"/>
  <c r="AC305" i="3" s="1"/>
  <c r="AA305" i="3"/>
  <c r="AC136" i="3"/>
  <c r="AC139" i="3" s="1"/>
  <c r="AA222" i="3"/>
  <c r="AB222" i="3" s="1"/>
  <c r="AE222" i="3" s="1"/>
  <c r="T222" i="3"/>
  <c r="AA74" i="3"/>
  <c r="AE63" i="3"/>
  <c r="AE65" i="3" s="1"/>
  <c r="AB65" i="3"/>
  <c r="AB238" i="3"/>
  <c r="AA4" i="3"/>
  <c r="AC261" i="3"/>
  <c r="AC263" i="3" s="1"/>
  <c r="AA263" i="3"/>
  <c r="U152" i="3"/>
  <c r="U153" i="3" s="1"/>
  <c r="U82" i="3"/>
  <c r="U83" i="3" s="1"/>
  <c r="AA82" i="3"/>
  <c r="AB264" i="3"/>
  <c r="AA265" i="3"/>
  <c r="AC124" i="3"/>
  <c r="AC125" i="3" s="1"/>
  <c r="AA125" i="3"/>
  <c r="AC114" i="3"/>
  <c r="AC116" i="3" s="1"/>
  <c r="AA116" i="3"/>
  <c r="AA151" i="3"/>
  <c r="AA22" i="3"/>
  <c r="AC120" i="3"/>
  <c r="AC121" i="3" s="1"/>
  <c r="AA121" i="3"/>
  <c r="AF186" i="3"/>
  <c r="AF187" i="3" s="1"/>
  <c r="AB187" i="3"/>
  <c r="T238" i="3"/>
  <c r="T239" i="3" s="1"/>
  <c r="U253" i="3"/>
  <c r="AC45" i="3"/>
  <c r="AC46" i="3" s="1"/>
  <c r="AA46" i="3"/>
  <c r="AE234" i="3"/>
  <c r="AE235" i="3" s="1"/>
  <c r="AB235" i="3"/>
  <c r="AC69" i="3"/>
  <c r="AC71" i="3" s="1"/>
  <c r="AA71" i="3"/>
  <c r="AF307" i="3"/>
  <c r="AF308" i="3" s="1"/>
  <c r="AB308" i="3"/>
  <c r="AE183" i="3"/>
  <c r="AE184" i="3" s="1"/>
  <c r="AB184" i="3"/>
  <c r="AE290" i="3"/>
  <c r="AE291" i="3" s="1"/>
  <c r="AB291" i="3"/>
  <c r="AB80" i="3"/>
  <c r="AA139" i="3"/>
  <c r="AB8" i="3"/>
  <c r="AA9" i="3"/>
  <c r="AB220" i="3"/>
  <c r="AB243" i="3"/>
  <c r="AA244" i="3"/>
  <c r="AB179" i="3"/>
  <c r="AA180" i="3"/>
  <c r="AE92" i="3"/>
  <c r="AE94" i="3" s="1"/>
  <c r="AB94" i="3"/>
  <c r="AC274" i="3"/>
  <c r="AC275" i="3" s="1"/>
  <c r="AA275" i="3"/>
  <c r="AC284" i="3"/>
  <c r="AC285" i="3" s="1"/>
  <c r="AA285" i="3"/>
  <c r="AA73" i="3"/>
  <c r="AB72" i="3"/>
  <c r="AE72" i="3" s="1"/>
  <c r="AE73" i="3" s="1"/>
  <c r="AB95" i="3"/>
  <c r="AF236" i="3"/>
  <c r="AF237" i="3" s="1"/>
  <c r="AB237" i="3"/>
  <c r="AC257" i="3"/>
  <c r="AC258" i="3" s="1"/>
  <c r="AA258" i="3"/>
  <c r="AB279" i="3"/>
  <c r="AB283" i="3" s="1"/>
  <c r="AF146" i="3"/>
  <c r="AF147" i="3" s="1"/>
  <c r="AB147" i="3"/>
  <c r="T80" i="3"/>
  <c r="T81" i="3" s="1"/>
  <c r="AB59" i="3"/>
  <c r="AA60" i="3"/>
  <c r="AB195" i="3"/>
  <c r="AE86" i="3"/>
  <c r="AE91" i="3" s="1"/>
  <c r="AB91" i="3"/>
  <c r="AC306" i="3"/>
  <c r="AC308" i="3" s="1"/>
  <c r="AA308" i="3"/>
  <c r="AA6" i="3"/>
  <c r="AC6" i="3" s="1"/>
  <c r="U6" i="3"/>
  <c r="T96" i="3"/>
  <c r="AA96" i="3"/>
  <c r="AB96" i="3" s="1"/>
  <c r="AF96" i="3" s="1"/>
  <c r="AE44" i="3" l="1"/>
  <c r="AA58" i="3"/>
  <c r="O318" i="3"/>
  <c r="O320" i="3" s="1"/>
  <c r="U228" i="3"/>
  <c r="T97" i="3"/>
  <c r="AA239" i="3"/>
  <c r="U201" i="3"/>
  <c r="AA81" i="3"/>
  <c r="U254" i="3"/>
  <c r="AA260" i="3"/>
  <c r="S316" i="3"/>
  <c r="AA201" i="3"/>
  <c r="U71" i="3"/>
  <c r="AA219" i="3"/>
  <c r="AA123" i="3"/>
  <c r="AB44" i="3"/>
  <c r="AB199" i="3"/>
  <c r="AE199" i="3" s="1"/>
  <c r="AC199" i="3"/>
  <c r="AB221" i="3"/>
  <c r="AE221" i="3" s="1"/>
  <c r="AC221" i="3"/>
  <c r="AC228" i="3" s="1"/>
  <c r="AB76" i="3"/>
  <c r="AB77" i="3" s="1"/>
  <c r="AC76" i="3"/>
  <c r="AC77" i="3" s="1"/>
  <c r="AB197" i="3"/>
  <c r="AE197" i="3" s="1"/>
  <c r="AC197" i="3"/>
  <c r="T228" i="3"/>
  <c r="AA77" i="3"/>
  <c r="AB19" i="3"/>
  <c r="AE19" i="3" s="1"/>
  <c r="AE21" i="3" s="1"/>
  <c r="AA52" i="3"/>
  <c r="AA228" i="3"/>
  <c r="AA97" i="3"/>
  <c r="T316" i="3"/>
  <c r="AF245" i="3"/>
  <c r="AF254" i="3" s="1"/>
  <c r="AB254" i="3"/>
  <c r="AF19" i="3"/>
  <c r="AE243" i="3"/>
  <c r="AE244" i="3" s="1"/>
  <c r="AB244" i="3"/>
  <c r="AC151" i="3"/>
  <c r="AC153" i="3" s="1"/>
  <c r="AA153" i="3"/>
  <c r="AC40" i="3"/>
  <c r="AC44" i="3" s="1"/>
  <c r="AA44" i="3"/>
  <c r="AE220" i="3"/>
  <c r="AE53" i="3"/>
  <c r="AE56" i="3" s="1"/>
  <c r="AB56" i="3"/>
  <c r="AF72" i="3"/>
  <c r="AF73" i="3" s="1"/>
  <c r="AB73" i="3"/>
  <c r="AC74" i="3"/>
  <c r="AC75" i="3" s="1"/>
  <c r="AA75" i="3"/>
  <c r="AE195" i="3"/>
  <c r="AE80" i="3"/>
  <c r="AE81" i="3" s="1"/>
  <c r="AB81" i="3"/>
  <c r="AC82" i="3"/>
  <c r="AC83" i="3" s="1"/>
  <c r="AA83" i="3"/>
  <c r="AC7" i="3"/>
  <c r="AE268" i="3"/>
  <c r="AE273" i="3" s="1"/>
  <c r="AB273" i="3"/>
  <c r="U7" i="3"/>
  <c r="AB4" i="3"/>
  <c r="AA7" i="3"/>
  <c r="AE179" i="3"/>
  <c r="AE180" i="3" s="1"/>
  <c r="AB180" i="3"/>
  <c r="AE238" i="3"/>
  <c r="AE239" i="3" s="1"/>
  <c r="AB239" i="3"/>
  <c r="AF95" i="3"/>
  <c r="AF97" i="3" s="1"/>
  <c r="AB97" i="3"/>
  <c r="AE279" i="3"/>
  <c r="AE283" i="3" s="1"/>
  <c r="AC22" i="3"/>
  <c r="AC39" i="3" s="1"/>
  <c r="AA39" i="3"/>
  <c r="AE76" i="3"/>
  <c r="AE77" i="3" s="1"/>
  <c r="AE8" i="3"/>
  <c r="AE9" i="3" s="1"/>
  <c r="AB9" i="3"/>
  <c r="AF264" i="3"/>
  <c r="AF265" i="3" s="1"/>
  <c r="AB265" i="3"/>
  <c r="AG59" i="3"/>
  <c r="AB60" i="3"/>
  <c r="AB21" i="3" l="1"/>
  <c r="U316" i="3"/>
  <c r="AC201" i="3"/>
  <c r="AE201" i="3"/>
  <c r="AB228" i="3"/>
  <c r="AB201" i="3"/>
  <c r="AE228" i="3"/>
  <c r="AC316" i="3"/>
  <c r="AB319" i="3" s="1"/>
  <c r="AA316" i="3"/>
  <c r="AA2" i="3" s="1"/>
  <c r="AF21" i="3"/>
  <c r="AF316" i="3" s="1"/>
  <c r="AG60" i="3"/>
  <c r="AG316" i="3"/>
  <c r="AE4" i="3"/>
  <c r="AB7" i="3"/>
  <c r="AB316" i="3" l="1"/>
  <c r="AB318" i="3" s="1"/>
  <c r="AB320" i="3" s="1"/>
  <c r="AE7" i="3"/>
  <c r="AE316" i="3" s="1"/>
</calcChain>
</file>

<file path=xl/comments1.xml><?xml version="1.0" encoding="utf-8"?>
<comments xmlns="http://schemas.openxmlformats.org/spreadsheetml/2006/main">
  <authors>
    <author>Raplis Agnieszka</author>
    <author>Mackowicz Renata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>potrącone od stycznia 2025:
- niewpłacona część zabezpieczenia do umowy GHZ/108/1/UP/2018 1236,00
- kwota do wpłacenia przez Elektobudowę z wyroku VI GC 119/23 115,40</t>
        </r>
      </text>
    </comment>
    <comment ref="H6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wiadomość od R.Niewola z dn. 30-05-2025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- inform. M.Cycyk 08.10.2025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zwrotu - wiad. 13.08.2025 od Ł. Mielcarka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zwrotu - wiad. 13.08.2025 od Ł. Mielcarka</t>
        </r>
      </text>
    </comment>
    <comment ref="E40" authorId="1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dopłata kwot 33.007,73 i 5400,00 wynikące z aneksów 1 i 2 miała miejsce w styczniu 2020, zatem dotychczasowe odsetki sa prawidłowe a od I kw. Będę liczyć o d nowej wartości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firma wyrejestrowana z VAT, ogłoszona upadłość, brak kontaktu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zmiana terminu (wiad. 08-07-2025 - R.Niewola</t>
        </r>
      </text>
    </comment>
    <comment ref="H76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przes.terminu-wiad.od R.Niewola 30.05.2025</t>
        </r>
      </text>
    </comment>
    <comment ref="P92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64,06 błędnie naliczone odsetki za 2022r. (zawyżone)</t>
        </r>
      </text>
    </comment>
    <comment ref="P95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64,06 błędnie naliczone odsetki za 2022r. (zawyżone)</t>
        </r>
      </text>
    </comment>
    <comment ref="P98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64,06 błędnie naliczone odsetki za 2022r. (zawyżone)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inform. - R.Żurek</t>
        </r>
      </text>
    </comment>
    <comment ref="E186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częściowe przeksięgowanie na zabezp. Umowy DHZ/63/4549/2024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kompensata noty obciążeniowej w kwocie 21 426,60 (PBW uzupełni zabezpieczenie?)
</t>
        </r>
      </text>
    </comment>
    <comment ref="H195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przes.terminu-wiad.od R.Niewola 30.05.2025</t>
        </r>
      </text>
    </comment>
    <comment ref="E196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kompensata noty obciążeniowej w kwocie 21 426,60 (PBW uzupełni zabezpieczenie?)
</t>
        </r>
      </text>
    </comment>
    <comment ref="H196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przes.terminu-wiad.od R.Niewola 30.05.2025</t>
        </r>
      </text>
    </comment>
    <comment ref="H197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przes.terminu-wiad.od R.Niewola 30.05.2025</t>
        </r>
      </text>
    </comment>
    <comment ref="E200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Wpłacone zabezpieczenie 21.12.2020  w kwocie 6702,77 zostało w dniu 13.11.2023 rozliczone z notą obciążeniową 14/2023 za wykonawstwo zastępcze.
W dniu 29.11.2023 PBW uzupełniło ponownie zabezpieczenie w kwocie 6 702,77</t>
        </r>
      </text>
    </comment>
    <comment ref="H202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- inform. W.Szumiło 08.10.2025</t>
        </r>
      </text>
    </comment>
    <comment ref="H203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- inform. W.Szumiło 08.10.2025</t>
        </r>
      </text>
    </comment>
    <comment ref="Q216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Naliczone odsetki za 2024r. Pomniejszyć o 100,65 (błędnie naliczone były za 2023r.)</t>
        </r>
      </text>
    </comment>
    <comment ref="H217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zmiana terminu - wiad. 08-07-2025 - R.Niewola</t>
        </r>
      </text>
    </comment>
    <comment ref="H240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- inform. W.Szumiło 08.10.2025</t>
        </r>
      </text>
    </comment>
    <comment ref="G248" authorId="0" shapeId="0">
      <text>
        <r>
          <rPr>
            <b/>
            <sz val="6"/>
            <color indexed="81"/>
            <rFont val="Tahoma"/>
            <family val="2"/>
            <charset val="238"/>
          </rPr>
          <t>Raplis Agnieszka:</t>
        </r>
        <r>
          <rPr>
            <sz val="6"/>
            <color indexed="81"/>
            <rFont val="Tahoma"/>
            <family val="2"/>
            <charset val="238"/>
          </rPr>
          <t xml:space="preserve">
Wadium wpłynęło 05.07.2019, uzgodnienie z kontrahentem przeksięgowania wadium na zabezpieczenie 13.01.2023. Tę datę przyjmujemy jako data wpłaty części zabezpieczenia i od tego dnia liczymy odsetki</t>
        </r>
      </text>
    </comment>
    <comment ref="H255" authorId="0" shapeId="0">
      <text>
        <r>
          <rPr>
            <b/>
            <sz val="8"/>
            <color indexed="81"/>
            <rFont val="Tahoma"/>
            <family val="2"/>
            <charset val="238"/>
          </rPr>
          <t>Raplis Agnieszka:</t>
        </r>
        <r>
          <rPr>
            <sz val="8"/>
            <color indexed="81"/>
            <rFont val="Tahoma"/>
            <family val="2"/>
            <charset val="238"/>
          </rPr>
          <t xml:space="preserve">
Świadczenia gwarancyjne wygasły z uwagi na niespełnienie warunków gwarancyjnych przewidzianych w DTR.</t>
        </r>
      </text>
    </comment>
    <comment ref="H269" authorId="1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wrzesień 2023 - aneks nr 2 przesunął termin zakończenia prac do 20.11.2023 więc zmiana terminu zwrotu z 30.09.2026 na 20.12.2026
</t>
        </r>
        <r>
          <rPr>
            <b/>
            <sz val="9"/>
            <color indexed="81"/>
            <rFont val="Tahoma"/>
            <family val="2"/>
            <charset val="238"/>
          </rPr>
          <t>Edyta Szatkowska:</t>
        </r>
        <r>
          <rPr>
            <sz val="9"/>
            <color indexed="81"/>
            <rFont val="Tahoma"/>
            <family val="2"/>
            <charset val="238"/>
          </rPr>
          <t xml:space="preserve">
Nowy termin zwrotu po aneksie nr 3 - 15.01.2027</t>
        </r>
      </text>
    </comment>
    <comment ref="H313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zmiana terminu - inform. W.Szumiło 08.10.2025</t>
        </r>
      </text>
    </comment>
  </commentList>
</comments>
</file>

<file path=xl/comments2.xml><?xml version="1.0" encoding="utf-8"?>
<comments xmlns="http://schemas.openxmlformats.org/spreadsheetml/2006/main">
  <authors>
    <author>Raplis Agnieszka</author>
  </authors>
  <commentList>
    <comment ref="H81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wiadomość od R.Niewola z dn. 30-05-2025</t>
        </r>
      </text>
    </comment>
  </commentList>
</comments>
</file>

<file path=xl/sharedStrings.xml><?xml version="1.0" encoding="utf-8"?>
<sst xmlns="http://schemas.openxmlformats.org/spreadsheetml/2006/main" count="1579" uniqueCount="422">
  <si>
    <t>KONTRAHENT</t>
  </si>
  <si>
    <t>NR SAP</t>
  </si>
  <si>
    <t xml:space="preserve">UMOWA  </t>
  </si>
  <si>
    <t>KWOTA ZABEZP.</t>
  </si>
  <si>
    <t>TERMIN  ZWROTU WYNIKAJĄCY Z UMOWY</t>
  </si>
  <si>
    <t>SPOSÓB NALICZANIA ODSETEK OD KAUCJI</t>
  </si>
  <si>
    <t>Dane otrzymane od</t>
  </si>
  <si>
    <t>KAUCJA ZWRACANA NA PISEMNE ŻĄDANIE TAK / NIE</t>
  </si>
  <si>
    <t>odsetki narastająco do 31.12.2019</t>
  </si>
  <si>
    <t>Odsetki naliczone na 31.03.2020</t>
  </si>
  <si>
    <t>Odsetki naliczone na 30.06.2020</t>
  </si>
  <si>
    <t>Elektrobudowa S.A.</t>
  </si>
  <si>
    <t>GHZ/97/1/UP/2018</t>
  </si>
  <si>
    <t>GHZ/108/1/UP/2018</t>
  </si>
  <si>
    <t>PRZEDSIĘBIORSTWO BUDOWLANE STRYKOWSKI SPÓŁKA Z O.O. SPÓŁKA KOMANDYTOWA</t>
  </si>
  <si>
    <t>Enetech</t>
  </si>
  <si>
    <t>GHZ/1/1/UP/2020</t>
  </si>
  <si>
    <t>GHZ/34/1282/UP/2019</t>
  </si>
  <si>
    <t>Przedsiębiorstwo Wdrożeń Przemysłowych WILPO Sp. z o.o.</t>
  </si>
  <si>
    <t>GHZ/70/1/UP/2019</t>
  </si>
  <si>
    <t>FABRYKA REDUKTORÓW I MOTOREDUKTORÓW BEFARED S.A.</t>
  </si>
  <si>
    <t>GHZ/26/UD/2020</t>
  </si>
  <si>
    <t>Przedsiębiorstwo Usług Inżynierskich "Rialex" sp. z o.o.</t>
  </si>
  <si>
    <t>GHZ/47/1/UP/2018</t>
  </si>
  <si>
    <t>Mador Serwis</t>
  </si>
  <si>
    <t>Odlewnia Rawicz</t>
  </si>
  <si>
    <t>GHZ/14/1606/UD/2020</t>
  </si>
  <si>
    <t>Partner sp. z o.o.</t>
  </si>
  <si>
    <t>GHZ/25/877/UD/2018</t>
  </si>
  <si>
    <t>EZ/60/774/UP/2017</t>
  </si>
  <si>
    <t xml:space="preserve">PUT Mador sc </t>
  </si>
  <si>
    <t>Gumzamet</t>
  </si>
  <si>
    <t>VKT (2881)</t>
  </si>
  <si>
    <t>Bart Sp. z o.o.</t>
  </si>
  <si>
    <t>GHZ/26/I/UP/2018</t>
  </si>
  <si>
    <t>GHZ/43/1/UP/2019</t>
  </si>
  <si>
    <t>VIBROSON Łodź Sp. z o.o.</t>
  </si>
  <si>
    <t>GHZ/79/1539/UD/2019</t>
  </si>
  <si>
    <t>CENTAMEX (2182)</t>
  </si>
  <si>
    <t>GHZ/42/1542/UD/2020</t>
  </si>
  <si>
    <t>REMO-FIRMA BUDOWLANO-DROGOWA (3765)</t>
  </si>
  <si>
    <t>EZ/41/196/205/UP/2015</t>
  </si>
  <si>
    <t>SPAW -SERWIS    (3147)</t>
  </si>
  <si>
    <t>STAL SYSTEMS S.A.</t>
  </si>
  <si>
    <t>GHZ/91/1/UP/2018</t>
  </si>
  <si>
    <t>ACE Instal</t>
  </si>
  <si>
    <t>GHZ/5/1/UP/2020</t>
  </si>
  <si>
    <t>GHZ/160/1/UP/2020</t>
  </si>
  <si>
    <t>LABTECHNE sp. z o.o.</t>
  </si>
  <si>
    <t>ARMAŃSKI SP.Z O.O. SP.K. (3674)</t>
  </si>
  <si>
    <t>PUPH ELEKTROSERV-ZAP Sp. z o.o.</t>
  </si>
  <si>
    <t>GFM Rusztowania Sp. z o.o.</t>
  </si>
  <si>
    <t>PBW Inżynieria</t>
  </si>
  <si>
    <t>GHZ/36/1/UP/2018</t>
  </si>
  <si>
    <t>GHZ/104/1/UP/2019</t>
  </si>
  <si>
    <t>GHZ/83/1/UP/2019</t>
  </si>
  <si>
    <t>GHZ/87/1/ UP/2019</t>
  </si>
  <si>
    <t>GHZ/48/1/UP/2020</t>
  </si>
  <si>
    <t>GHZ/31/1606/UD/2020</t>
  </si>
  <si>
    <t>Inwest-terma</t>
  </si>
  <si>
    <t>GHZ/41/UD/2018</t>
  </si>
  <si>
    <t>STP&amp;DIN (3257)</t>
  </si>
  <si>
    <t>GHZ/151/1761/UP/2020</t>
  </si>
  <si>
    <t>USŁUGI OGÓLNOBUDOWLANE Duszkiewicz</t>
  </si>
  <si>
    <t>GHZ/168/1761/UP/2020</t>
  </si>
  <si>
    <t>ADK System Agnieszka Kicmal Damian</t>
  </si>
  <si>
    <t>GHZ/102/1/UD/2018</t>
  </si>
  <si>
    <t>GHZ/103/1/UD/2018</t>
  </si>
  <si>
    <t>DPI Technologies Sp. z o.o.</t>
  </si>
  <si>
    <t>GHZ/17/1590//UD/2020</t>
  </si>
  <si>
    <t>Delta Engineering Sp. z o.o.</t>
  </si>
  <si>
    <t>GHZ/97/01/UP/2019</t>
  </si>
  <si>
    <t>GHZ/37/1/UP/2020</t>
  </si>
  <si>
    <t>GHZ/134/1/UP/2020</t>
  </si>
  <si>
    <t>GHZ/71/1/UP/2019</t>
  </si>
  <si>
    <t>B Plus Sp. z o.o. Sp. k.</t>
  </si>
  <si>
    <t xml:space="preserve">GHZ/88/1/UD/2019 </t>
  </si>
  <si>
    <t>k-to 215 800 0000</t>
  </si>
  <si>
    <t>k-to 210 800 0000</t>
  </si>
  <si>
    <t>długoterm.</t>
  </si>
  <si>
    <t>krórkoterm.</t>
  </si>
  <si>
    <t>odsetki narastająco do 31.12.2020</t>
  </si>
  <si>
    <t>zwrot odsetek naliczonych do 31-12-2020</t>
  </si>
  <si>
    <t>zwrot odsetek z bieżącego roku</t>
  </si>
  <si>
    <t>zwrot kaucji</t>
  </si>
  <si>
    <t>data zwrotu</t>
  </si>
  <si>
    <t>saldo</t>
  </si>
  <si>
    <t>data wpływu / potrącenia</t>
  </si>
  <si>
    <t>LOOS Centrum Sp. z o.o.</t>
  </si>
  <si>
    <t>GHZ/68/959/UD/2019</t>
  </si>
  <si>
    <t>odsetki naliczone w 2021r.</t>
  </si>
  <si>
    <t>bez terminu</t>
  </si>
  <si>
    <t>krótkoterm.</t>
  </si>
  <si>
    <t>do 2 lat 730</t>
  </si>
  <si>
    <t>do 3 lat  1095</t>
  </si>
  <si>
    <t>powyżej 5 lat</t>
  </si>
  <si>
    <t>do 5 lat  1825</t>
  </si>
  <si>
    <t>Uwagi</t>
  </si>
  <si>
    <t>2018-09-29; 2018-10-31</t>
  </si>
  <si>
    <t xml:space="preserve">na kwotę podstawową umowy przysłali gwarancję ubezpieczeniową; po aneksie zmieniła się wartość umowy i terminy jej realizacji, więc i tak muszą dostarczyć aneks do gwarancji </t>
  </si>
  <si>
    <t>GHZ/35/1/UP/2018</t>
  </si>
  <si>
    <t>GHZ /113/1/UP/2018</t>
  </si>
  <si>
    <t>2020-04-03 i 2020-07-22 przeks.na zabezp.</t>
  </si>
  <si>
    <t>rozl.z ControlTech ?</t>
  </si>
  <si>
    <t>wymagalne od       1 do 2 lat</t>
  </si>
  <si>
    <t>wymagalne od       2 do 3 lat</t>
  </si>
  <si>
    <t>wymagalne od       3 do 5 lat</t>
  </si>
  <si>
    <t>wymagalne powyżej 5 lat</t>
  </si>
  <si>
    <t>Nr kontrahenta</t>
  </si>
  <si>
    <t>Nazwa kontrahenta</t>
  </si>
  <si>
    <t>Kwota wadium</t>
  </si>
  <si>
    <t>Data otrzymania</t>
  </si>
  <si>
    <t>Hydro - Instal</t>
  </si>
  <si>
    <t>RAZEM                        .</t>
  </si>
  <si>
    <t>Razem na 31.12.2021</t>
  </si>
  <si>
    <t>GHZ/180/1/UP/2020</t>
  </si>
  <si>
    <t>DHZ/20/1/UP/2021</t>
  </si>
  <si>
    <t>DHZ/19/1/UP/2021</t>
  </si>
  <si>
    <t>GHZ/55/1739/UP/2021</t>
  </si>
  <si>
    <t>DHZ/50/1739/UP/2021</t>
  </si>
  <si>
    <t>DHZ/53/1821/UP/2021</t>
  </si>
  <si>
    <t>zwrot</t>
  </si>
  <si>
    <t>Zwrot</t>
  </si>
  <si>
    <t>DHZ/39/1739/UP/2021</t>
  </si>
  <si>
    <t>18.06.2021, 20-08-2021</t>
  </si>
  <si>
    <t>DHZ/66/959/UD/2021</t>
  </si>
  <si>
    <t>30.06.2020, 09.08.2021</t>
  </si>
  <si>
    <t>Politechnik Kozioł i Współnicy s.j.</t>
  </si>
  <si>
    <t>STEULER-KCH Polska Sp. z o.o.</t>
  </si>
  <si>
    <t>INSAKO</t>
  </si>
  <si>
    <t>EPS System</t>
  </si>
  <si>
    <t>DHZ/58/959/UP/2021</t>
  </si>
  <si>
    <t>Hydro-Instal Sp. z o.o.</t>
  </si>
  <si>
    <t>DHZ/85/1896/UP/2021</t>
  </si>
  <si>
    <t>21.05.2021; 26.11.2021</t>
  </si>
  <si>
    <t>ARCHIDOC S.A.</t>
  </si>
  <si>
    <t>Climbex sp. z o.o.</t>
  </si>
  <si>
    <t>kwota zwrotu</t>
  </si>
  <si>
    <t>Saldo</t>
  </si>
  <si>
    <t>Data zwrotu</t>
  </si>
  <si>
    <t>zwrot odsetek naliczonych w latach poprzednich</t>
  </si>
  <si>
    <t>archiwizacja dokumentów</t>
  </si>
  <si>
    <t>GH/68/16/1/UP/2017</t>
  </si>
  <si>
    <t>ZMPiUT</t>
  </si>
  <si>
    <t>GHZ/54/1/UP/2019</t>
  </si>
  <si>
    <t>DHZ/32/2078/UP/2022</t>
  </si>
  <si>
    <t>T- SYSTEMS POLSKA SP Z O O</t>
  </si>
  <si>
    <t>DHZ/37/UD/2022</t>
  </si>
  <si>
    <t>GHZ/49/1/UP/2022</t>
  </si>
  <si>
    <t>DHZ/39/1830/UP/2022</t>
  </si>
  <si>
    <t>HEMPEL SPECIAL METALS</t>
  </si>
  <si>
    <t>DHZ/65/2120/UD/2022</t>
  </si>
  <si>
    <t>Ze względu na pandemię związaną z koronawirusem oprocentowanie r-ku bankowego w PKO BP SA oraz w Pekao SA wynosiło 0,00%</t>
  </si>
  <si>
    <t>DHZ/61/1830/UP/2022</t>
  </si>
  <si>
    <t>Rapid Sp. z o.o.</t>
  </si>
  <si>
    <t>DHZ/58/1888/UP/2022</t>
  </si>
  <si>
    <t>2020-07-07; dopłata 2021-02-23, potrąc.19.09.2022</t>
  </si>
  <si>
    <t>DHZ/64/1888/UP/2022</t>
  </si>
  <si>
    <t>potrącenie</t>
  </si>
  <si>
    <t>DHZ/8/2002/UD/2022</t>
  </si>
  <si>
    <t>przeksięgowanie wadium</t>
  </si>
  <si>
    <t>DHZ/68/2173/UD/2022</t>
  </si>
  <si>
    <t>DHZ/51/1978/UP/2022</t>
  </si>
  <si>
    <t>DHZ/50/1978/UP/2022</t>
  </si>
  <si>
    <t>BETAFENCE SPÓŁKA Z OGRANICZONĄ</t>
  </si>
  <si>
    <t>DHZ/52/2166/UD/2022</t>
  </si>
  <si>
    <t>PPHU ANDAR</t>
  </si>
  <si>
    <t>DHZ/43/2095/UP/2022</t>
  </si>
  <si>
    <t>Wiench Jerzy PUH</t>
  </si>
  <si>
    <t>DHZ/59/2178/UP/2022</t>
  </si>
  <si>
    <t>Multivalve Sp. z o.o.</t>
  </si>
  <si>
    <t>DHZ/71/2072/UD/2022</t>
  </si>
  <si>
    <t>DHZ/55/1888/UP/2022</t>
  </si>
  <si>
    <t>Zakład ogólnobudowlany Wrocław</t>
  </si>
  <si>
    <t>DHZ/45/1830/UD/2022</t>
  </si>
  <si>
    <t>SOLPET</t>
  </si>
  <si>
    <t xml:space="preserve">GFM Rusztowania </t>
  </si>
  <si>
    <t>planowana data zwrotu</t>
  </si>
  <si>
    <t>ASE ATEX Sp. z o.o.</t>
  </si>
  <si>
    <t>22.12.2022; 20.03.2023</t>
  </si>
  <si>
    <t>Biuro Techniczno Handlowe - Konin ARPOL</t>
  </si>
  <si>
    <t>DHZ/15/2148/UD/2023</t>
  </si>
  <si>
    <t>REKORD SA</t>
  </si>
  <si>
    <t>DHZ/23/2167/UP/2023</t>
  </si>
  <si>
    <t>30% - zwrot bez odsetek</t>
  </si>
  <si>
    <t>DHZ/26/2265/UD/2023</t>
  </si>
  <si>
    <t>DHZ/16/2226/UD/2023</t>
  </si>
  <si>
    <t>ZAKŁADY REMONTOWE ENERGETYKI</t>
  </si>
  <si>
    <t>DHZ/30/2143/UP/2023</t>
  </si>
  <si>
    <t>DHZ/19/2072/UP/2023</t>
  </si>
  <si>
    <t>Osoba odpowiedzialna</t>
  </si>
  <si>
    <t>GHZ/3/1/UD/2020</t>
  </si>
  <si>
    <t>TE Krzysztof Jochym</t>
  </si>
  <si>
    <t>GHZ/99/1/UP/2018</t>
  </si>
  <si>
    <t>TS Rafał Niewola</t>
  </si>
  <si>
    <t>DP Wojciech Pająk</t>
  </si>
  <si>
    <t>30.01.2023; 30.03.2023</t>
  </si>
  <si>
    <t>TK Jarosław Dudek</t>
  </si>
  <si>
    <t>GZ Adam Kurzątkowski</t>
  </si>
  <si>
    <t>18.11.2022; 10.02.2023</t>
  </si>
  <si>
    <t>RAZEM</t>
  </si>
  <si>
    <t/>
  </si>
  <si>
    <t>załatwione</t>
  </si>
  <si>
    <t>OP</t>
  </si>
  <si>
    <t>BO</t>
  </si>
  <si>
    <t>Odsetki</t>
  </si>
  <si>
    <t>bez odsetek</t>
  </si>
  <si>
    <t>DHZ/38/2148/UD/2023</t>
  </si>
  <si>
    <t>DHZ/20/1798/UP/2023</t>
  </si>
  <si>
    <t>różnica (wyksięgowane odsetki)</t>
  </si>
  <si>
    <t>spłacone odsetki z lat ubiegłych</t>
  </si>
  <si>
    <t>Saldo odsetek w odroczonym podatku</t>
  </si>
  <si>
    <t>OEM AUTOMATIC SP. Z O.O</t>
  </si>
  <si>
    <t>DHZ/31/2167/UD/2023</t>
  </si>
  <si>
    <t>DHZ/34/2240/UP/2023</t>
  </si>
  <si>
    <t>DHZ/27/2181/UP/2023</t>
  </si>
  <si>
    <t>DHZ/73/1798/UP/2022</t>
  </si>
  <si>
    <t>70% - spór sądowy</t>
  </si>
  <si>
    <t xml:space="preserve">DP Wojciech Pająk </t>
  </si>
  <si>
    <t xml:space="preserve">TB Jakub Wesołowski </t>
  </si>
  <si>
    <t>spór sądowy</t>
  </si>
  <si>
    <t>ER</t>
  </si>
  <si>
    <t>PLAZ-MET MATEUSZ ZAWADA</t>
  </si>
  <si>
    <t>DHZ/42/2182/UP/2023</t>
  </si>
  <si>
    <t>13.04.2018; 02.06.2022</t>
  </si>
  <si>
    <t>W związku z powyższym od lipca 2020 do 07.10.2021 odsetki nie były naliczane</t>
  </si>
  <si>
    <t>Oprocentowanie stanów dodatnich w cash poolu również do 07.10.2021 wynosiło 0%</t>
  </si>
  <si>
    <t>DHZ/48/1739/UP/2023</t>
  </si>
  <si>
    <t>02.09.2020; 30.06.2023</t>
  </si>
  <si>
    <t>DHZ/45/2167/UP/2023</t>
  </si>
  <si>
    <t>DHZ/46/2167/UP/2023</t>
  </si>
  <si>
    <t>DHZ/47/2167/UP/2023</t>
  </si>
  <si>
    <t>MEZON Zakład Ślusarsko-Spawalniczy</t>
  </si>
  <si>
    <t>DHZ/41/2256/UP/2023</t>
  </si>
  <si>
    <t>DHZ/44/2148/UD/2023</t>
  </si>
  <si>
    <t>Usługi Alpinistyczne REB</t>
  </si>
  <si>
    <t>DHZ/43/2256/UP/2023</t>
  </si>
  <si>
    <t>DHZ/56/2167/UP/2023</t>
  </si>
  <si>
    <t>DHZ/55/2253/UP/2023</t>
  </si>
  <si>
    <t>REBUS</t>
  </si>
  <si>
    <t>DHZ/51/1888/UP/2023</t>
  </si>
  <si>
    <t>DHZ/60/1739/UP/2023</t>
  </si>
  <si>
    <t>DHZ/29/2167/UP/2023</t>
  </si>
  <si>
    <t>DHZ/66/3358/UD/2023</t>
  </si>
  <si>
    <t>4 Industry Solutions Paweł Michałek</t>
  </si>
  <si>
    <t>DHZ/37/2167/UD/2023</t>
  </si>
  <si>
    <t>DHZ/54/2148/UP/2023</t>
  </si>
  <si>
    <t>DHZ/52/2148/UD/2023</t>
  </si>
  <si>
    <t>DHZ/69/2167/UP/2023</t>
  </si>
  <si>
    <t>DHZ/63/3361/UD/2023</t>
  </si>
  <si>
    <t>Clyde Bergemann Polska Sp. z o.o.</t>
  </si>
  <si>
    <t>DHZ/61/2253/UP/2023</t>
  </si>
  <si>
    <t>BUCHEN INDUSTRIAL SERVICES POLSKA</t>
  </si>
  <si>
    <t>DHZ/50/2148/UP/2023</t>
  </si>
  <si>
    <t>24.07.2023; 02.10.2023</t>
  </si>
  <si>
    <t>DHZ/72/50/UP/2023</t>
  </si>
  <si>
    <t>DHZ/22/1/UP/2023</t>
  </si>
  <si>
    <t>z odsetkami</t>
  </si>
  <si>
    <t>DHZ/71/1955/UP/2023</t>
  </si>
  <si>
    <t>OpolKan Service Mazur Sp. k.</t>
  </si>
  <si>
    <t>DHZ/75/2342/UP/2023</t>
  </si>
  <si>
    <t>STP &amp; DIN CHEMICALS SP. Z O.O.</t>
  </si>
  <si>
    <t>DHZ/86/4378/UP/2023</t>
  </si>
  <si>
    <t>05.10.2023; 13.11.2023</t>
  </si>
  <si>
    <t>TRANSREM SP. Z O.O.</t>
  </si>
  <si>
    <t>DHZ/68/1888/UP/2023</t>
  </si>
  <si>
    <t>DHZ/82/2230/2049/2140/UP/2023</t>
  </si>
  <si>
    <t>DHZ/90/1798/UP/2023</t>
  </si>
  <si>
    <t>DP W.Pająk</t>
  </si>
  <si>
    <t>DHZ/92/2332/UP/2023</t>
  </si>
  <si>
    <t>ENERGO-EKO-SYSTEM SP. ZO.O.</t>
  </si>
  <si>
    <t>DHZ/87/2302/UP/2023</t>
  </si>
  <si>
    <t>BKWK Sp. z o.o.</t>
  </si>
  <si>
    <t>DHZ/74/1888/UP/2023</t>
  </si>
  <si>
    <t>31.08.2023; 04.01.2024</t>
  </si>
  <si>
    <t>21.09.2023; 14.12.2023</t>
  </si>
  <si>
    <t>FAMAK Spółka Akcyjna</t>
  </si>
  <si>
    <t>DHZ/70/2322/UP/2023</t>
  </si>
  <si>
    <t>DHZ/101/4383/UP/2023</t>
  </si>
  <si>
    <t>JL Digger Łukasz Czura,Julian Czura</t>
  </si>
  <si>
    <t>DHZ/89/4404/UP/2023</t>
  </si>
  <si>
    <t>DHZ/102/3364/UP/2023</t>
  </si>
  <si>
    <t>DHZ/107/4427/UD/2023</t>
  </si>
  <si>
    <t>odsetki naliczone w 2024r.</t>
  </si>
  <si>
    <r>
      <t xml:space="preserve">ADK System  - </t>
    </r>
    <r>
      <rPr>
        <sz val="8"/>
        <color rgb="FF0000FF"/>
        <rFont val="Calibri"/>
        <family val="2"/>
        <charset val="238"/>
        <scheme val="minor"/>
      </rPr>
      <t xml:space="preserve">umowa przeszła na ADK - aport andosa do ADK - ANDOS A.OSTROWSKI S.OLEJARZ SP.J. - </t>
    </r>
  </si>
  <si>
    <t>DHZ/96/UD/2023</t>
  </si>
  <si>
    <t>ERBUD INDUSTRY CENTRUM Spółka</t>
  </si>
  <si>
    <t>DHZ/99/4415/UP/2023</t>
  </si>
  <si>
    <t>DHZ/97/2332/UD/2023</t>
  </si>
  <si>
    <t>DHZ/106/2332/UP/2023</t>
  </si>
  <si>
    <t>DHZ/104/4437/UP/2023</t>
  </si>
  <si>
    <t>DHZ/103/4437/UP/2023</t>
  </si>
  <si>
    <t>DHZ/91/2322/UD/2023</t>
  </si>
  <si>
    <t>DHZ/8/4389/UP/2024</t>
  </si>
  <si>
    <t>DHZ/2/4425/UP/2024</t>
  </si>
  <si>
    <t>Krystian Jagiella Usługi Budowlane</t>
  </si>
  <si>
    <t>DHZ/5/4429/UP/2024</t>
  </si>
  <si>
    <t>DHZ/17/1/UP/2024</t>
  </si>
  <si>
    <t>DHZ/13/2167/UP/2024</t>
  </si>
  <si>
    <t>DHZ/3/1955/UP/2024</t>
  </si>
  <si>
    <t>DHZ/7/2280/UP/2024</t>
  </si>
  <si>
    <t>PLAZ-MET Marta Zawada</t>
  </si>
  <si>
    <t>DHZ/9/2280/UP/2024</t>
  </si>
  <si>
    <t>BM chemie BOGDAN MALCER</t>
  </si>
  <si>
    <t>DHZ/22/4410/UP/2024</t>
  </si>
  <si>
    <t>DHZ/12/4390/UP/2024</t>
  </si>
  <si>
    <t>DHZ/14/4390/UP/2024</t>
  </si>
  <si>
    <t>TZ</t>
  </si>
  <si>
    <t>DHZ/1/4395/UP/2024</t>
  </si>
  <si>
    <t>DHZ/27/4449/UP/2024</t>
  </si>
  <si>
    <t>23.04.2024; 29.07.2024</t>
  </si>
  <si>
    <t>06.03.2024; 02.08.2024</t>
  </si>
  <si>
    <t>DHZ/36/4457/2024</t>
  </si>
  <si>
    <t>0208-2024</t>
  </si>
  <si>
    <t>BM chemie (GRUZBET-RECYKLING)</t>
  </si>
  <si>
    <t>DHZ/43/4456/4485/UP/2024</t>
  </si>
  <si>
    <t>CES Sp. z o.o.</t>
  </si>
  <si>
    <t>DHZ/45/3355/UP/2024</t>
  </si>
  <si>
    <t>EURODOM PRZEDSIĘBIORSTWO PROD.-USŁUGOWE</t>
  </si>
  <si>
    <t>DHZ/42/4475/UD/2024</t>
  </si>
  <si>
    <r>
      <t xml:space="preserve">15 dni po okresie gwarancji - gwarancja 12 m-cy - </t>
    </r>
    <r>
      <rPr>
        <sz val="6"/>
        <color rgb="FFFF0000"/>
        <rFont val="Calibri"/>
        <family val="2"/>
        <charset val="238"/>
        <scheme val="minor"/>
      </rPr>
      <t>wyks. Niesłusznie naliczone odsetki  - 31.08.2024</t>
    </r>
  </si>
  <si>
    <t>DHZ/47/3355/UP/2024</t>
  </si>
  <si>
    <t xml:space="preserve">INKOMET-ERTECH PRZEDSIĘBIORSTWO REMONTOWO-USŁUGOWO-HANDLOWE </t>
  </si>
  <si>
    <t>DHZ/26/4470/UD/2024</t>
  </si>
  <si>
    <t>EBRI Sp. z o.o.</t>
  </si>
  <si>
    <t>DHZ/41/4471/UD/2024</t>
  </si>
  <si>
    <t>DHZ/37/4479/UP/2024</t>
  </si>
  <si>
    <t>DHZ/46/2167/2024</t>
  </si>
  <si>
    <t>DHZ/40/3355/2024</t>
  </si>
  <si>
    <t>BIURO INŻYNIERSKIE AUTOMATYKI</t>
  </si>
  <si>
    <t>DHZ/58/3355/UP/2024</t>
  </si>
  <si>
    <t>Enetech Automatyka Sp. z o.o.</t>
  </si>
  <si>
    <t>DHZ/59/4537/UP/2024</t>
  </si>
  <si>
    <t>DHZ/66/4423/UP/2024</t>
  </si>
  <si>
    <t>MAR-BUD Specjalistyczne Roboty</t>
  </si>
  <si>
    <t>DHZ/67/3355/UP/2024</t>
  </si>
  <si>
    <t>DHZ/55/4495/UP/2024</t>
  </si>
  <si>
    <t>DHZ/62/3355/UP/2025</t>
  </si>
  <si>
    <t>PSFI SERVICE SP. Z O.O.</t>
  </si>
  <si>
    <t>POCZTA POLSKA S.A.</t>
  </si>
  <si>
    <t>DHZ/61/U/2024</t>
  </si>
  <si>
    <t>GZ M.Sztulberg</t>
  </si>
  <si>
    <t>DHZ/63/4549 /UP/2024</t>
  </si>
  <si>
    <t>DHZ/56/4494/UP/2024</t>
  </si>
  <si>
    <t>22.10.2024; 28.11.2024</t>
  </si>
  <si>
    <t>WIELAND INDUSTRY SP. Z O.O.</t>
  </si>
  <si>
    <t>DHZ/54/4495/UP/2024</t>
  </si>
  <si>
    <t>DHZ/65/4505/UP/2024</t>
  </si>
  <si>
    <t>23013/TZ</t>
  </si>
  <si>
    <t>Messer Polska Sp.zo.o.</t>
  </si>
  <si>
    <t>23305/TB</t>
  </si>
  <si>
    <t>Razem na ……..2024</t>
  </si>
  <si>
    <t>odsetki naliczone do 31.12.2024</t>
  </si>
  <si>
    <t>DHZ/1/3355/UP/2025</t>
  </si>
  <si>
    <t>DHZ/69/UD/2024</t>
  </si>
  <si>
    <t>TZ Maciek Kameduła</t>
  </si>
  <si>
    <t>spisane w przychody</t>
  </si>
  <si>
    <t>odsetki naliczone w 2023</t>
  </si>
  <si>
    <t>Odsetki naliczone w 2022</t>
  </si>
  <si>
    <t>odsetki naliczone w 2025r.</t>
  </si>
  <si>
    <t>GHZ/72/3355/UP/2024</t>
  </si>
  <si>
    <t>PRZEDSIĘBIORSTWO ZET SP.ZOO</t>
  </si>
  <si>
    <t>DHZ/3/4575/UP/2025</t>
  </si>
  <si>
    <t>DHZ/5/4598/UP/2025</t>
  </si>
  <si>
    <t>wysłane 11-03-2025</t>
  </si>
  <si>
    <t>DHZ/4/4495/UP/2025</t>
  </si>
  <si>
    <t>DHZ/10/3355/UP/2025</t>
  </si>
  <si>
    <t>DHZ/60/4495/UP/2024</t>
  </si>
  <si>
    <t>TS</t>
  </si>
  <si>
    <t>wysłane 11-04-2025</t>
  </si>
  <si>
    <t>zmiana terminu</t>
  </si>
  <si>
    <t>TE</t>
  </si>
  <si>
    <t>wysłane 15-04-2025</t>
  </si>
  <si>
    <t>DHZ/11/4604/UP/2025</t>
  </si>
  <si>
    <t>wysłane 28-04-2025</t>
  </si>
  <si>
    <t>P.R.E Elektromont-Gamma Sp.z o.o</t>
  </si>
  <si>
    <t>23726/TS</t>
  </si>
  <si>
    <t>ACE Instal  Sp. z o.o.</t>
  </si>
  <si>
    <t>PPU EURODOM</t>
  </si>
  <si>
    <t>21136/TS</t>
  </si>
  <si>
    <t>TR</t>
  </si>
  <si>
    <t>TZ - dotyczy TR</t>
  </si>
  <si>
    <t>Elektromont-Gamma</t>
  </si>
  <si>
    <t>DHZ/57/2172/UP/2024</t>
  </si>
  <si>
    <t>DHZ/8/4495/UP/2025</t>
  </si>
  <si>
    <t>PARTNER SERWIS SP. Z O.O.</t>
  </si>
  <si>
    <t>23964/TE</t>
  </si>
  <si>
    <t>DHZ/17/3355/UP/2024</t>
  </si>
  <si>
    <t>TN Rafał Sztulberg</t>
  </si>
  <si>
    <t>TN</t>
  </si>
  <si>
    <t>wysłane 27-05-2025</t>
  </si>
  <si>
    <t>DHZ/6/1955/UP/2024</t>
  </si>
  <si>
    <t>30% - spór sądowy</t>
  </si>
  <si>
    <t>zmiana term.</t>
  </si>
  <si>
    <t>zablokowane - zabezp.wyk.na usunięcie usterek</t>
  </si>
  <si>
    <t>DZH/21/3355/UP/2025</t>
  </si>
  <si>
    <t>DHZ/64/4523/UP/2024</t>
  </si>
  <si>
    <t>DHZ/26/3355/UP/2025</t>
  </si>
  <si>
    <t>DHZ/12/4604/UP/2025</t>
  </si>
  <si>
    <t>DHZ/16/4569/UP/2025</t>
  </si>
  <si>
    <t>Weld Service Sp. z o.o.</t>
  </si>
  <si>
    <t>DHZ/27/2229/UP/2025</t>
  </si>
  <si>
    <t>Term Systems</t>
  </si>
  <si>
    <t>DHZ/24/4569/UP/2025</t>
  </si>
  <si>
    <t>DHZ/28/4624/UP/2025</t>
  </si>
  <si>
    <t>DHZ/29/4631/UP/2025</t>
  </si>
  <si>
    <t>ELWO Engineering Sp. z o.o.</t>
  </si>
  <si>
    <t>DHZ/23/4569/UD/2025</t>
  </si>
  <si>
    <t>TK</t>
  </si>
  <si>
    <t>wysłane 24-07-2025</t>
  </si>
  <si>
    <t>HERKULES S.A. w Restrukturyzacji</t>
  </si>
  <si>
    <t>DHZ/20/4569/UP/2025</t>
  </si>
  <si>
    <t>DHZ/29/4569/UP/2025</t>
  </si>
  <si>
    <t>wysłane 28-08-2025</t>
  </si>
  <si>
    <t>wyksięgow. W PPO wyrok</t>
  </si>
  <si>
    <t>wyksięgow. W PPO - wyrok</t>
  </si>
  <si>
    <t>30% - Nie zwracamy zabezpieczenia - całość do potrącenia w 2029r.</t>
  </si>
  <si>
    <t>TECHNOLOGIE TRUDNOŚCIERALNE DENSIT</t>
  </si>
  <si>
    <t>DHZ/34/4624/UP/2025</t>
  </si>
  <si>
    <t>DHZ/38/4667/UD/2025</t>
  </si>
  <si>
    <t>PRZEDSIĘBIORSTWO PU EURODOM</t>
  </si>
  <si>
    <t>24673/TN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</si>
</sst>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8"/>
      <color rgb="FFFF0000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sz val="8"/>
      <color rgb="FF000099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99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u/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sz val="6"/>
      <color indexed="81"/>
      <name val="Tahoma"/>
      <family val="2"/>
      <charset val="238"/>
    </font>
    <font>
      <sz val="6"/>
      <color indexed="81"/>
      <name val="Tahoma"/>
      <family val="2"/>
      <charset val="238"/>
    </font>
    <font>
      <sz val="6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7"/>
      <name val="Calibri"/>
      <family val="2"/>
      <charset val="238"/>
      <scheme val="minor"/>
    </font>
    <font>
      <sz val="7"/>
      <color indexed="81"/>
      <name val="Tahoma"/>
      <family val="2"/>
      <charset val="238"/>
    </font>
    <font>
      <b/>
      <sz val="6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9">
    <xf numFmtId="0" fontId="0" fillId="0" borderId="0" xfId="0"/>
    <xf numFmtId="4" fontId="5" fillId="0" borderId="0" xfId="0" applyNumberFormat="1" applyFont="1" applyFill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4" fontId="5" fillId="0" borderId="0" xfId="2" applyNumberFormat="1" applyFont="1" applyAlignment="1">
      <alignment vertical="center"/>
    </xf>
    <xf numFmtId="14" fontId="5" fillId="0" borderId="0" xfId="2" applyNumberFormat="1" applyFont="1" applyAlignment="1">
      <alignment horizontal="center" vertical="center"/>
    </xf>
    <xf numFmtId="4" fontId="5" fillId="0" borderId="0" xfId="0" applyNumberFormat="1" applyFont="1" applyFill="1" applyAlignment="1">
      <alignment vertical="center"/>
    </xf>
    <xf numFmtId="14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vertical="center"/>
    </xf>
    <xf numFmtId="4" fontId="6" fillId="4" borderId="2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2" xfId="0" applyFont="1" applyFill="1" applyBorder="1" applyAlignment="1">
      <alignment horizontal="center"/>
    </xf>
    <xf numFmtId="14" fontId="5" fillId="0" borderId="0" xfId="0" applyNumberFormat="1" applyFont="1" applyFill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14" fontId="18" fillId="6" borderId="0" xfId="2" applyNumberFormat="1" applyFont="1" applyFill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4" fontId="18" fillId="4" borderId="1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11" fillId="0" borderId="0" xfId="0" applyFont="1"/>
    <xf numFmtId="4" fontId="9" fillId="0" borderId="2" xfId="0" applyNumberFormat="1" applyFont="1" applyFill="1" applyBorder="1" applyAlignment="1">
      <alignment horizontal="left"/>
    </xf>
    <xf numFmtId="4" fontId="9" fillId="0" borderId="2" xfId="0" applyNumberFormat="1" applyFont="1" applyBorder="1"/>
    <xf numFmtId="14" fontId="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wrapText="1"/>
    </xf>
    <xf numFmtId="4" fontId="20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6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" fontId="26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4" fontId="25" fillId="0" borderId="0" xfId="0" applyNumberFormat="1" applyFont="1" applyFill="1" applyAlignment="1">
      <alignment vertical="center"/>
    </xf>
    <xf numFmtId="4" fontId="26" fillId="6" borderId="0" xfId="0" applyNumberFormat="1" applyFont="1" applyFill="1" applyAlignment="1">
      <alignment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/>
    </xf>
    <xf numFmtId="4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" fontId="6" fillId="7" borderId="0" xfId="0" applyNumberFormat="1" applyFont="1" applyFill="1" applyAlignment="1">
      <alignment vertical="center"/>
    </xf>
    <xf numFmtId="0" fontId="25" fillId="9" borderId="0" xfId="0" applyFont="1" applyFill="1" applyAlignment="1">
      <alignment vertical="center"/>
    </xf>
    <xf numFmtId="4" fontId="5" fillId="0" borderId="0" xfId="2" applyNumberFormat="1" applyFont="1" applyAlignment="1">
      <alignment vertical="center"/>
    </xf>
    <xf numFmtId="4" fontId="5" fillId="7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4" fontId="7" fillId="7" borderId="1" xfId="0" applyNumberFormat="1" applyFont="1" applyFill="1" applyBorder="1" applyAlignment="1">
      <alignment horizontal="right" vertical="center" wrapText="1"/>
    </xf>
    <xf numFmtId="4" fontId="7" fillId="7" borderId="1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/>
    </xf>
    <xf numFmtId="9" fontId="5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left" vertical="center" wrapText="1"/>
    </xf>
    <xf numFmtId="9" fontId="5" fillId="7" borderId="1" xfId="0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7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14" fontId="25" fillId="0" borderId="0" xfId="0" applyNumberFormat="1" applyFont="1" applyFill="1" applyAlignment="1">
      <alignment horizontal="center" vertical="center"/>
    </xf>
    <xf numFmtId="4" fontId="5" fillId="6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14" fontId="5" fillId="10" borderId="1" xfId="0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/>
    </xf>
    <xf numFmtId="14" fontId="5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vertical="center"/>
    </xf>
    <xf numFmtId="9" fontId="5" fillId="11" borderId="1" xfId="0" applyNumberFormat="1" applyFont="1" applyFill="1" applyBorder="1" applyAlignment="1">
      <alignment horizontal="left" vertical="center" wrapText="1"/>
    </xf>
    <xf numFmtId="9" fontId="5" fillId="11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9" fontId="5" fillId="7" borderId="1" xfId="0" applyNumberFormat="1" applyFont="1" applyFill="1" applyBorder="1" applyAlignment="1">
      <alignment horizontal="left" vertical="center"/>
    </xf>
    <xf numFmtId="9" fontId="28" fillId="0" borderId="1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34" fillId="7" borderId="0" xfId="0" applyFont="1" applyFill="1" applyAlignment="1">
      <alignment vertical="center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1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right" vertical="center"/>
    </xf>
    <xf numFmtId="14" fontId="5" fillId="12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9" fontId="28" fillId="7" borderId="1" xfId="0" applyNumberFormat="1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9" fontId="5" fillId="10" borderId="1" xfId="0" applyNumberFormat="1" applyFont="1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vertical="center" wrapText="1"/>
    </xf>
    <xf numFmtId="0" fontId="0" fillId="7" borderId="0" xfId="0" applyFill="1" applyAlignment="1">
      <alignment vertical="center"/>
    </xf>
    <xf numFmtId="14" fontId="0" fillId="6" borderId="0" xfId="0" applyNumberFormat="1" applyFill="1" applyAlignment="1">
      <alignment horizontal="left" vertical="center"/>
    </xf>
    <xf numFmtId="4" fontId="5" fillId="7" borderId="1" xfId="0" applyNumberFormat="1" applyFont="1" applyFill="1" applyBorder="1" applyAlignment="1">
      <alignment horizontal="right" vertical="center" wrapText="1"/>
    </xf>
    <xf numFmtId="0" fontId="0" fillId="10" borderId="0" xfId="0" applyFill="1" applyAlignment="1">
      <alignment vertical="center"/>
    </xf>
    <xf numFmtId="14" fontId="0" fillId="10" borderId="0" xfId="0" applyNumberFormat="1" applyFill="1" applyAlignment="1">
      <alignment vertical="center"/>
    </xf>
    <xf numFmtId="14" fontId="5" fillId="0" borderId="0" xfId="0" applyNumberFormat="1" applyFont="1" applyAlignment="1">
      <alignment horizontal="left" vertical="center" wrapText="1"/>
    </xf>
    <xf numFmtId="0" fontId="40" fillId="6" borderId="1" xfId="0" applyFont="1" applyFill="1" applyBorder="1" applyAlignment="1">
      <alignment horizontal="center" vertical="center" wrapText="1"/>
    </xf>
    <xf numFmtId="9" fontId="42" fillId="10" borderId="1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3">
    <cellStyle name="Normalny" xfId="0" builtinId="0"/>
    <cellStyle name="Normalny 14" xfId="1"/>
    <cellStyle name="Normalny 15 10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41"/>
  <sheetViews>
    <sheetView tabSelected="1" zoomScale="110" zoomScaleNormal="110" workbookViewId="0">
      <pane xSplit="5" ySplit="3" topLeftCell="Q305" activePane="bottomRight" state="frozen"/>
      <selection pane="topRight" activeCell="F1" sqref="F1"/>
      <selection pane="bottomLeft" activeCell="A4" sqref="A4"/>
      <selection pane="bottomRight" activeCell="H283" sqref="H283"/>
    </sheetView>
  </sheetViews>
  <sheetFormatPr defaultColWidth="9.109375" defaultRowHeight="10.199999999999999" x14ac:dyDescent="0.3"/>
  <cols>
    <col min="1" max="1" width="22.6640625" style="89" customWidth="1"/>
    <col min="2" max="2" width="7.5546875" style="10" customWidth="1"/>
    <col min="3" max="3" width="17" style="10" customWidth="1"/>
    <col min="4" max="4" width="7.109375" style="91" customWidth="1"/>
    <col min="5" max="5" width="12.5546875" style="11" customWidth="1"/>
    <col min="6" max="6" width="9.33203125" style="11" customWidth="1"/>
    <col min="7" max="7" width="10.6640625" style="50" customWidth="1"/>
    <col min="8" max="8" width="11.6640625" style="10" customWidth="1"/>
    <col min="9" max="10" width="10.109375" style="121" customWidth="1"/>
    <col min="11" max="11" width="15.33203125" style="121" customWidth="1"/>
    <col min="12" max="12" width="11.33203125" style="12" customWidth="1"/>
    <col min="13" max="15" width="10.5546875" style="12" customWidth="1"/>
    <col min="16" max="16" width="10.44140625" style="12" customWidth="1"/>
    <col min="17" max="18" width="9.5546875" style="12" customWidth="1"/>
    <col min="19" max="19" width="12.33203125" style="12" customWidth="1"/>
    <col min="20" max="22" width="12.88671875" style="12" hidden="1" customWidth="1"/>
    <col min="23" max="23" width="8.6640625" style="12" customWidth="1"/>
    <col min="24" max="24" width="10.6640625" style="16" customWidth="1"/>
    <col min="25" max="25" width="9.109375" style="16" customWidth="1"/>
    <col min="26" max="26" width="10.33203125" style="16" customWidth="1"/>
    <col min="27" max="27" width="10" style="12" customWidth="1"/>
    <col min="28" max="28" width="13.44140625" style="12" customWidth="1"/>
    <col min="29" max="30" width="13.109375" style="12" customWidth="1"/>
    <col min="31" max="31" width="15.44140625" style="12" customWidth="1"/>
    <col min="32" max="33" width="14.33203125" style="12" customWidth="1"/>
    <col min="34" max="34" width="12" style="12" customWidth="1"/>
    <col min="35" max="35" width="15.5546875" style="12" customWidth="1"/>
    <col min="36" max="36" width="4.44140625" style="181" customWidth="1"/>
    <col min="37" max="16384" width="9.109375" style="12"/>
  </cols>
  <sheetData>
    <row r="1" spans="1:36" ht="14.4" customHeight="1" x14ac:dyDescent="0.3">
      <c r="J1" s="200"/>
      <c r="K1" s="200"/>
      <c r="L1" s="17"/>
      <c r="T1" s="14">
        <f>AB1</f>
        <v>45930</v>
      </c>
      <c r="U1" s="14"/>
      <c r="V1" s="15"/>
      <c r="AB1" s="68">
        <v>45930</v>
      </c>
      <c r="AC1" s="14"/>
      <c r="AD1" s="15"/>
      <c r="AE1" s="17"/>
      <c r="AF1" s="17"/>
      <c r="AG1" s="17"/>
    </row>
    <row r="2" spans="1:36" ht="14.4" customHeight="1" x14ac:dyDescent="0.3">
      <c r="T2" s="14"/>
      <c r="U2" s="14"/>
      <c r="V2" s="15"/>
      <c r="AA2" s="127">
        <f>AA316</f>
        <v>1600580.9499999993</v>
      </c>
      <c r="AB2" s="129"/>
      <c r="AC2" s="14"/>
      <c r="AD2" s="15"/>
      <c r="AE2" s="18" t="s">
        <v>93</v>
      </c>
      <c r="AF2" s="18" t="s">
        <v>94</v>
      </c>
      <c r="AG2" s="18" t="s">
        <v>96</v>
      </c>
      <c r="AH2" s="12" t="s">
        <v>95</v>
      </c>
    </row>
    <row r="3" spans="1:36" s="66" customFormat="1" ht="90" customHeight="1" x14ac:dyDescent="0.3">
      <c r="A3" s="57" t="s">
        <v>0</v>
      </c>
      <c r="B3" s="57" t="s">
        <v>1</v>
      </c>
      <c r="C3" s="57" t="s">
        <v>2</v>
      </c>
      <c r="D3" s="92" t="s">
        <v>121</v>
      </c>
      <c r="E3" s="58" t="s">
        <v>3</v>
      </c>
      <c r="F3" s="58"/>
      <c r="G3" s="59" t="s">
        <v>87</v>
      </c>
      <c r="H3" s="94" t="s">
        <v>4</v>
      </c>
      <c r="I3" s="122" t="s">
        <v>97</v>
      </c>
      <c r="J3" s="122" t="s">
        <v>205</v>
      </c>
      <c r="K3" s="122" t="s">
        <v>190</v>
      </c>
      <c r="L3" s="57" t="s">
        <v>8</v>
      </c>
      <c r="M3" s="57" t="s">
        <v>9</v>
      </c>
      <c r="N3" s="57" t="s">
        <v>10</v>
      </c>
      <c r="O3" s="57" t="s">
        <v>358</v>
      </c>
      <c r="P3" s="57" t="s">
        <v>357</v>
      </c>
      <c r="Q3" s="57" t="s">
        <v>283</v>
      </c>
      <c r="R3" s="57" t="s">
        <v>359</v>
      </c>
      <c r="S3" s="61" t="s">
        <v>351</v>
      </c>
      <c r="T3" s="62" t="s">
        <v>79</v>
      </c>
      <c r="U3" s="62" t="s">
        <v>80</v>
      </c>
      <c r="V3" s="62" t="s">
        <v>91</v>
      </c>
      <c r="W3" s="57" t="s">
        <v>85</v>
      </c>
      <c r="X3" s="111" t="s">
        <v>140</v>
      </c>
      <c r="Y3" s="64" t="s">
        <v>83</v>
      </c>
      <c r="Z3" s="64" t="s">
        <v>84</v>
      </c>
      <c r="AA3" s="67" t="s">
        <v>86</v>
      </c>
      <c r="AB3" s="62" t="s">
        <v>79</v>
      </c>
      <c r="AC3" s="62" t="s">
        <v>80</v>
      </c>
      <c r="AD3" s="62" t="s">
        <v>91</v>
      </c>
      <c r="AE3" s="65" t="s">
        <v>104</v>
      </c>
      <c r="AF3" s="65" t="s">
        <v>105</v>
      </c>
      <c r="AG3" s="65" t="s">
        <v>106</v>
      </c>
      <c r="AH3" s="65" t="s">
        <v>107</v>
      </c>
      <c r="AJ3" s="182"/>
    </row>
    <row r="4" spans="1:36" ht="28.8" customHeight="1" x14ac:dyDescent="0.3">
      <c r="A4" s="90" t="s">
        <v>11</v>
      </c>
      <c r="B4" s="32">
        <v>1003964</v>
      </c>
      <c r="C4" s="83" t="s">
        <v>12</v>
      </c>
      <c r="D4" s="93" t="str">
        <f t="shared" ref="D4:D34" si="0">IF(W4&gt;0,"zwrócone","")</f>
        <v/>
      </c>
      <c r="E4" s="22">
        <f>3774-1236-115.4</f>
        <v>2422.6</v>
      </c>
      <c r="F4" s="22"/>
      <c r="G4" s="24">
        <v>43494</v>
      </c>
      <c r="H4" s="154">
        <v>46317</v>
      </c>
      <c r="I4" s="202" t="s">
        <v>416</v>
      </c>
      <c r="J4" s="46" t="s">
        <v>257</v>
      </c>
      <c r="K4" s="6" t="s">
        <v>194</v>
      </c>
      <c r="L4" s="25">
        <v>44.4699999999998</v>
      </c>
      <c r="M4" s="25">
        <v>10.35</v>
      </c>
      <c r="N4" s="25">
        <v>1.41</v>
      </c>
      <c r="O4" s="25">
        <v>189.79</v>
      </c>
      <c r="P4" s="25">
        <v>226.82</v>
      </c>
      <c r="Q4" s="25">
        <v>200.4</v>
      </c>
      <c r="R4" s="25"/>
      <c r="S4" s="27">
        <f>E4+L4+M4+N4+P4+O4+Q4+R4</f>
        <v>3095.8399999999997</v>
      </c>
      <c r="T4" s="28">
        <f>IF(H4-$T$1&gt;365,S4,0)</f>
        <v>3095.8399999999997</v>
      </c>
      <c r="U4" s="28">
        <f>IF(H4-$T$1&lt;365,S4,0)</f>
        <v>0</v>
      </c>
      <c r="V4" s="28">
        <f>IF(H4="",S4,0)</f>
        <v>0</v>
      </c>
      <c r="W4" s="8"/>
      <c r="X4" s="28"/>
      <c r="Y4" s="28"/>
      <c r="Z4" s="28"/>
      <c r="AA4" s="28">
        <f>S4-Z4-Y4-X4</f>
        <v>3095.8399999999997</v>
      </c>
      <c r="AB4" s="28">
        <f>IF(H4-$AB$1&gt;365,AA4,0)</f>
        <v>3095.8399999999997</v>
      </c>
      <c r="AC4" s="28">
        <f>IF(H4-$AB$1&lt;=365,AA4,0)</f>
        <v>0</v>
      </c>
      <c r="AD4" s="28">
        <f>IF(H4="",AA4,0)</f>
        <v>0</v>
      </c>
      <c r="AE4" s="28">
        <f>IF(AND(H4-$AB$1&gt;365,H4-$AB$1&lt;=730),AB4,0)</f>
        <v>3095.8399999999997</v>
      </c>
      <c r="AF4" s="28">
        <f>IF(AND(H4-$AB$1&gt;730,H4-$AB$1&lt;=1095),AB4,0)</f>
        <v>0</v>
      </c>
      <c r="AG4" s="28">
        <f>IF(AND(H4-$AB$1&gt;1095,H4-$AB$1&lt;=1825),AB4,0)</f>
        <v>0</v>
      </c>
      <c r="AH4" s="28">
        <f>IF(H4-$AB$1&gt;1825,AB4,0)</f>
        <v>0</v>
      </c>
    </row>
    <row r="5" spans="1:36" ht="18" customHeight="1" x14ac:dyDescent="0.3">
      <c r="A5" s="161" t="s">
        <v>11</v>
      </c>
      <c r="B5" s="162">
        <v>1003964</v>
      </c>
      <c r="C5" s="157" t="s">
        <v>13</v>
      </c>
      <c r="D5" s="201" t="s">
        <v>414</v>
      </c>
      <c r="E5" s="159">
        <f>73900*70%</f>
        <v>51730</v>
      </c>
      <c r="F5" s="159"/>
      <c r="G5" s="160">
        <v>43598</v>
      </c>
      <c r="H5" s="84">
        <v>43981</v>
      </c>
      <c r="I5" s="46" t="s">
        <v>217</v>
      </c>
      <c r="J5" s="46"/>
      <c r="K5" s="6" t="s">
        <v>194</v>
      </c>
      <c r="L5" s="25"/>
      <c r="M5" s="25"/>
      <c r="N5" s="25"/>
      <c r="O5" s="25"/>
      <c r="P5" s="25"/>
      <c r="Q5" s="25"/>
      <c r="R5" s="25"/>
      <c r="S5" s="27">
        <f t="shared" ref="S5:S76" si="1">E5+L5+M5+N5+P5+O5+Q5+R5</f>
        <v>51730</v>
      </c>
      <c r="T5" s="28">
        <f>IF(H5-$T$1&gt;365,S5,0)</f>
        <v>0</v>
      </c>
      <c r="U5" s="28">
        <f>IF(H5-$T$1&lt;365,S5,0)</f>
        <v>51730</v>
      </c>
      <c r="V5" s="28">
        <f>IF(H5="",S5,0)</f>
        <v>0</v>
      </c>
      <c r="W5" s="37">
        <v>45900</v>
      </c>
      <c r="X5" s="28"/>
      <c r="Y5" s="28"/>
      <c r="Z5" s="28">
        <v>51730</v>
      </c>
      <c r="AA5" s="28">
        <f>S5-Z5-Y5-X5</f>
        <v>0</v>
      </c>
      <c r="AB5" s="28">
        <f>IF(H5-$AB$1&gt;365,AA5,0)</f>
        <v>0</v>
      </c>
      <c r="AC5" s="28">
        <f>IF(H5-$AB$1&lt;=365,AA5,0)</f>
        <v>0</v>
      </c>
      <c r="AD5" s="28">
        <f>IF(H5="",AA5,0)</f>
        <v>0</v>
      </c>
      <c r="AE5" s="28">
        <f>IF(AND(H5-$AB$1&gt;365,H5-$AB$1&lt;=730),AB5,0)</f>
        <v>0</v>
      </c>
      <c r="AF5" s="28">
        <f>IF(AND(H5-$AB$1&gt;730,H5-$AB$1&lt;=1095),AB5,0)</f>
        <v>0</v>
      </c>
      <c r="AG5" s="28">
        <f>IF(AND(H5-$AB$1&gt;1095,H5-$AB$1&lt;=1825),AB5,0)</f>
        <v>0</v>
      </c>
      <c r="AH5" s="28">
        <f>IF(H5-$AB$1&gt;1825,AB5,0)</f>
        <v>0</v>
      </c>
    </row>
    <row r="6" spans="1:36" ht="18" customHeight="1" x14ac:dyDescent="0.3">
      <c r="A6" s="161" t="s">
        <v>11</v>
      </c>
      <c r="B6" s="162">
        <v>1003964</v>
      </c>
      <c r="C6" s="157" t="s">
        <v>13</v>
      </c>
      <c r="D6" s="201" t="s">
        <v>415</v>
      </c>
      <c r="E6" s="159">
        <v>22170</v>
      </c>
      <c r="F6" s="159"/>
      <c r="G6" s="160">
        <v>43598</v>
      </c>
      <c r="H6" s="84">
        <v>45792</v>
      </c>
      <c r="I6" s="46" t="s">
        <v>392</v>
      </c>
      <c r="J6" s="46"/>
      <c r="K6" s="6" t="s">
        <v>194</v>
      </c>
      <c r="L6" s="25"/>
      <c r="M6" s="25"/>
      <c r="N6" s="25"/>
      <c r="O6" s="25"/>
      <c r="P6" s="25"/>
      <c r="Q6" s="25"/>
      <c r="R6" s="25"/>
      <c r="S6" s="27">
        <f t="shared" si="1"/>
        <v>22170</v>
      </c>
      <c r="T6" s="28">
        <f>IF(H6-$T$1&gt;365,S6,0)</f>
        <v>0</v>
      </c>
      <c r="U6" s="28">
        <f>IF(H6-$T$1&lt;365,S6,0)</f>
        <v>22170</v>
      </c>
      <c r="V6" s="28">
        <f>IF(H6="",S6,0)</f>
        <v>0</v>
      </c>
      <c r="W6" s="37">
        <v>45900</v>
      </c>
      <c r="X6" s="28"/>
      <c r="Y6" s="28"/>
      <c r="Z6" s="28">
        <v>22170</v>
      </c>
      <c r="AA6" s="28">
        <f>S6-Z6-Y6-X6</f>
        <v>0</v>
      </c>
      <c r="AB6" s="28">
        <f>IF(H6-$AB$1&gt;365,AA6,0)</f>
        <v>0</v>
      </c>
      <c r="AC6" s="28">
        <f>IF(H6-$AB$1&lt;=365,AA6,0)</f>
        <v>0</v>
      </c>
      <c r="AD6" s="28">
        <f>IF(H6="",AA6,0)</f>
        <v>0</v>
      </c>
      <c r="AE6" s="28">
        <f>IF(AND(H6-$AB$1&gt;365,H6-$AB$1&lt;=730),AB6,0)</f>
        <v>0</v>
      </c>
      <c r="AF6" s="28">
        <f>IF(AND(H6-$AB$1&gt;730,H6-$AB$1&lt;=1095),AB6,0)</f>
        <v>0</v>
      </c>
      <c r="AG6" s="28">
        <f>IF(AND(H6-$AB$1&gt;1095,H6-$AB$1&lt;=1825),AB6,0)</f>
        <v>0</v>
      </c>
      <c r="AH6" s="28">
        <f>IF(H6-$AB$1&gt;1825,AB6,0)</f>
        <v>0</v>
      </c>
    </row>
    <row r="7" spans="1:36" ht="15.6" customHeight="1" x14ac:dyDescent="0.3">
      <c r="A7" s="130"/>
      <c r="B7" s="131"/>
      <c r="C7" s="117"/>
      <c r="D7" s="118" t="str">
        <f t="shared" si="0"/>
        <v/>
      </c>
      <c r="E7" s="31">
        <f>SUBTOTAL(9,E4:E6)</f>
        <v>76322.600000000006</v>
      </c>
      <c r="F7" s="31"/>
      <c r="G7" s="132"/>
      <c r="H7" s="120"/>
      <c r="I7" s="115"/>
      <c r="J7" s="115"/>
      <c r="K7" s="115"/>
      <c r="L7" s="31">
        <f t="shared" ref="L7:Q7" si="2">SUBTOTAL(9,L4:L6)</f>
        <v>44.4699999999998</v>
      </c>
      <c r="M7" s="31">
        <f t="shared" si="2"/>
        <v>10.35</v>
      </c>
      <c r="N7" s="31">
        <f t="shared" si="2"/>
        <v>1.41</v>
      </c>
      <c r="O7" s="31">
        <f t="shared" si="2"/>
        <v>189.79</v>
      </c>
      <c r="P7" s="31">
        <f t="shared" si="2"/>
        <v>226.82</v>
      </c>
      <c r="Q7" s="31">
        <f t="shared" si="2"/>
        <v>200.4</v>
      </c>
      <c r="R7" s="31"/>
      <c r="S7" s="31">
        <f t="shared" si="1"/>
        <v>76995.840000000011</v>
      </c>
      <c r="T7" s="31">
        <f>SUBTOTAL(9,T4:T6)</f>
        <v>3095.8399999999997</v>
      </c>
      <c r="U7" s="31">
        <f>SUBTOTAL(9,U4:U6)</f>
        <v>73900</v>
      </c>
      <c r="V7" s="31">
        <f>SUBTOTAL(9,V4:V6)</f>
        <v>0</v>
      </c>
      <c r="W7" s="31"/>
      <c r="X7" s="31">
        <f t="shared" ref="X7:AH7" si="3">SUBTOTAL(9,X4:X6)</f>
        <v>0</v>
      </c>
      <c r="Y7" s="31">
        <f t="shared" si="3"/>
        <v>0</v>
      </c>
      <c r="Z7" s="31">
        <f t="shared" si="3"/>
        <v>73900</v>
      </c>
      <c r="AA7" s="31">
        <f t="shared" si="3"/>
        <v>3095.8399999999997</v>
      </c>
      <c r="AB7" s="31">
        <f t="shared" si="3"/>
        <v>3095.8399999999997</v>
      </c>
      <c r="AC7" s="31">
        <f t="shared" si="3"/>
        <v>0</v>
      </c>
      <c r="AD7" s="31">
        <f t="shared" si="3"/>
        <v>0</v>
      </c>
      <c r="AE7" s="31">
        <f t="shared" si="3"/>
        <v>3095.8399999999997</v>
      </c>
      <c r="AF7" s="31">
        <f t="shared" si="3"/>
        <v>0</v>
      </c>
      <c r="AG7" s="31">
        <f t="shared" si="3"/>
        <v>0</v>
      </c>
      <c r="AH7" s="31">
        <f t="shared" si="3"/>
        <v>0</v>
      </c>
      <c r="AJ7" s="12"/>
    </row>
    <row r="8" spans="1:36" ht="15.6" customHeight="1" x14ac:dyDescent="0.3">
      <c r="A8" s="6" t="s">
        <v>135</v>
      </c>
      <c r="B8" s="34">
        <v>1004758</v>
      </c>
      <c r="C8" s="83" t="s">
        <v>141</v>
      </c>
      <c r="D8" s="93" t="str">
        <f t="shared" si="0"/>
        <v/>
      </c>
      <c r="E8" s="22">
        <f>725.19-110.19</f>
        <v>615</v>
      </c>
      <c r="F8" s="22"/>
      <c r="G8" s="24">
        <v>44594</v>
      </c>
      <c r="H8" s="23">
        <v>46295</v>
      </c>
      <c r="I8" s="150" t="s">
        <v>320</v>
      </c>
      <c r="J8" s="6"/>
      <c r="K8" s="6" t="s">
        <v>221</v>
      </c>
      <c r="L8" s="25"/>
      <c r="M8" s="25"/>
      <c r="N8" s="25"/>
      <c r="O8" s="25"/>
      <c r="P8" s="25"/>
      <c r="Q8" s="25"/>
      <c r="R8" s="25"/>
      <c r="S8" s="27">
        <f t="shared" si="1"/>
        <v>615</v>
      </c>
      <c r="T8" s="28">
        <f>IF(H8-$T$1&gt;365,S8,0)</f>
        <v>0</v>
      </c>
      <c r="U8" s="28">
        <f>IF(H8-$T$1&lt;365,S8,0)</f>
        <v>0</v>
      </c>
      <c r="V8" s="28">
        <f>IF(H8="",S8,0)</f>
        <v>0</v>
      </c>
      <c r="W8" s="37"/>
      <c r="X8" s="28"/>
      <c r="Y8" s="28"/>
      <c r="Z8" s="28"/>
      <c r="AA8" s="28">
        <f>S8-Z8-Y8-X8</f>
        <v>615</v>
      </c>
      <c r="AB8" s="28">
        <f>IF(H8-$AB$1&gt;365,AA8,0)</f>
        <v>0</v>
      </c>
      <c r="AC8" s="28">
        <f>IF(H8-$AB$1&lt;=365,AA8,0)</f>
        <v>615</v>
      </c>
      <c r="AD8" s="28">
        <f>IF(H8="",AA8,0)</f>
        <v>0</v>
      </c>
      <c r="AE8" s="28">
        <f>IF(AND(H8-$AB$1&gt;365,H8-$AB$1&lt;=730),AB8,0)</f>
        <v>0</v>
      </c>
      <c r="AF8" s="28">
        <f>IF(AND(H8-$AB$1&gt;730,H8-$AB$1&lt;=1095),AB8,0)</f>
        <v>0</v>
      </c>
      <c r="AG8" s="28">
        <f>IF(AND(H8-$AB$1&gt;1095,H8-$AB$1&lt;=1825),AB8,0)</f>
        <v>0</v>
      </c>
      <c r="AH8" s="28">
        <f>IF(H8-$AB$1&gt;1825,AB8,0)</f>
        <v>0</v>
      </c>
      <c r="AJ8" s="12"/>
    </row>
    <row r="9" spans="1:36" ht="15.6" customHeight="1" x14ac:dyDescent="0.3">
      <c r="A9" s="115"/>
      <c r="B9" s="133"/>
      <c r="C9" s="117"/>
      <c r="D9" s="118" t="str">
        <f>IF(W9&gt;0,"zwrócone","")</f>
        <v/>
      </c>
      <c r="E9" s="31">
        <f>SUBTOTAL(9,E8:E8)</f>
        <v>615</v>
      </c>
      <c r="F9" s="31"/>
      <c r="G9" s="132"/>
      <c r="H9" s="120"/>
      <c r="I9" s="134"/>
      <c r="J9" s="134"/>
      <c r="K9" s="134"/>
      <c r="L9" s="31">
        <f>SUBTOTAL(9,L8)</f>
        <v>0</v>
      </c>
      <c r="M9" s="31">
        <f>SUBTOTAL(9,M8)</f>
        <v>0</v>
      </c>
      <c r="N9" s="31">
        <f>SUBTOTAL(9,N8)</f>
        <v>0</v>
      </c>
      <c r="O9" s="31">
        <f>SUBTOTAL(9,O8)</f>
        <v>0</v>
      </c>
      <c r="P9" s="31">
        <f>SUBTOTAL(9,P8)</f>
        <v>0</v>
      </c>
      <c r="Q9" s="31">
        <f t="shared" ref="Q9:V9" si="4">SUBTOTAL(9,Q8)</f>
        <v>0</v>
      </c>
      <c r="R9" s="31"/>
      <c r="S9" s="31">
        <f t="shared" si="1"/>
        <v>615</v>
      </c>
      <c r="T9" s="31">
        <f t="shared" si="4"/>
        <v>0</v>
      </c>
      <c r="U9" s="31">
        <f t="shared" si="4"/>
        <v>0</v>
      </c>
      <c r="V9" s="31">
        <f t="shared" si="4"/>
        <v>0</v>
      </c>
      <c r="W9" s="31"/>
      <c r="X9" s="31">
        <f t="shared" ref="X9:AH9" si="5">SUBTOTAL(9,X8)</f>
        <v>0</v>
      </c>
      <c r="Y9" s="31">
        <f t="shared" si="5"/>
        <v>0</v>
      </c>
      <c r="Z9" s="31">
        <f t="shared" si="5"/>
        <v>0</v>
      </c>
      <c r="AA9" s="31">
        <f>SUBTOTAL(9,AA8)</f>
        <v>615</v>
      </c>
      <c r="AB9" s="31">
        <f t="shared" si="5"/>
        <v>0</v>
      </c>
      <c r="AC9" s="31">
        <f t="shared" si="5"/>
        <v>615</v>
      </c>
      <c r="AD9" s="31">
        <f t="shared" si="5"/>
        <v>0</v>
      </c>
      <c r="AE9" s="31">
        <f t="shared" si="5"/>
        <v>0</v>
      </c>
      <c r="AF9" s="31">
        <f t="shared" si="5"/>
        <v>0</v>
      </c>
      <c r="AG9" s="31">
        <f t="shared" si="5"/>
        <v>0</v>
      </c>
      <c r="AH9" s="31">
        <f t="shared" si="5"/>
        <v>0</v>
      </c>
      <c r="AJ9" s="12"/>
    </row>
    <row r="10" spans="1:36" ht="15.6" customHeight="1" x14ac:dyDescent="0.3">
      <c r="A10" s="85" t="s">
        <v>175</v>
      </c>
      <c r="B10" s="162">
        <v>1011647</v>
      </c>
      <c r="C10" s="157" t="s">
        <v>330</v>
      </c>
      <c r="D10" s="158" t="str">
        <f t="shared" si="0"/>
        <v>zwrócone</v>
      </c>
      <c r="E10" s="159">
        <v>3637.29</v>
      </c>
      <c r="F10" s="159"/>
      <c r="G10" s="160">
        <v>45567</v>
      </c>
      <c r="H10" s="84">
        <v>45777</v>
      </c>
      <c r="I10" s="46">
        <v>1</v>
      </c>
      <c r="J10" s="46" t="s">
        <v>206</v>
      </c>
      <c r="K10" s="46" t="s">
        <v>380</v>
      </c>
      <c r="L10" s="25"/>
      <c r="M10" s="25"/>
      <c r="N10" s="25"/>
      <c r="O10" s="25"/>
      <c r="P10" s="25"/>
      <c r="Q10" s="25"/>
      <c r="R10" s="25"/>
      <c r="S10" s="27">
        <f t="shared" si="1"/>
        <v>3637.29</v>
      </c>
      <c r="T10" s="28"/>
      <c r="U10" s="28"/>
      <c r="V10" s="28"/>
      <c r="W10" s="37">
        <v>45776</v>
      </c>
      <c r="X10" s="28"/>
      <c r="Y10" s="28"/>
      <c r="Z10" s="28">
        <v>3637.29</v>
      </c>
      <c r="AA10" s="28">
        <f>S10-Z10-Y10-X10</f>
        <v>0</v>
      </c>
      <c r="AB10" s="28">
        <f>IF(H10-$AB$1&gt;365,AA10,0)</f>
        <v>0</v>
      </c>
      <c r="AC10" s="28">
        <f>IF(H10-$AB$1&lt;=365,AA10,0)</f>
        <v>0</v>
      </c>
      <c r="AD10" s="28">
        <f>IF(H10="",AA10,0)</f>
        <v>0</v>
      </c>
      <c r="AE10" s="28">
        <f>IF(AND(H10-$AB$1&gt;365,H10-$AB$1&lt;=730),AB10,0)</f>
        <v>0</v>
      </c>
      <c r="AF10" s="28">
        <f>IF(AND(H10-$AB$1&gt;730,H10-$AB$1&lt;=1095),AB10,0)</f>
        <v>0</v>
      </c>
      <c r="AG10" s="28">
        <f>IF(AND(H10-$AB$1&gt;1095,H10-$AB$1&lt;=1825),AB10,0)</f>
        <v>0</v>
      </c>
      <c r="AH10" s="28">
        <f>IF(H10-$AB$1&gt;1825,AB10,0)</f>
        <v>0</v>
      </c>
      <c r="AJ10" s="12"/>
    </row>
    <row r="11" spans="1:36" ht="15.6" customHeight="1" x14ac:dyDescent="0.3">
      <c r="A11" s="6" t="s">
        <v>175</v>
      </c>
      <c r="B11" s="32">
        <v>1011647</v>
      </c>
      <c r="C11" s="83" t="s">
        <v>395</v>
      </c>
      <c r="D11" s="93" t="str">
        <f t="shared" si="0"/>
        <v/>
      </c>
      <c r="E11" s="22">
        <v>3997.7</v>
      </c>
      <c r="F11" s="22"/>
      <c r="G11" s="24">
        <v>45792</v>
      </c>
      <c r="H11" s="23">
        <v>46022</v>
      </c>
      <c r="I11" s="46">
        <v>1</v>
      </c>
      <c r="J11" s="46" t="s">
        <v>206</v>
      </c>
      <c r="K11" s="46" t="s">
        <v>380</v>
      </c>
      <c r="L11" s="25"/>
      <c r="M11" s="25"/>
      <c r="N11" s="25"/>
      <c r="O11" s="25"/>
      <c r="P11" s="25"/>
      <c r="Q11" s="25"/>
      <c r="R11" s="25"/>
      <c r="S11" s="27">
        <f t="shared" si="1"/>
        <v>3997.7</v>
      </c>
      <c r="T11" s="28"/>
      <c r="U11" s="28"/>
      <c r="V11" s="28"/>
      <c r="W11" s="37"/>
      <c r="X11" s="28"/>
      <c r="Y11" s="28"/>
      <c r="Z11" s="28"/>
      <c r="AA11" s="28">
        <f>S11-Z11-Y11-X11</f>
        <v>3997.7</v>
      </c>
      <c r="AB11" s="28">
        <f>IF(H11-$AB$1&gt;365,AA11,0)</f>
        <v>0</v>
      </c>
      <c r="AC11" s="28">
        <f>IF(H11-$AB$1&lt;=365,AA11,0)</f>
        <v>3997.7</v>
      </c>
      <c r="AD11" s="28">
        <f>IF(H11="",AA11,0)</f>
        <v>0</v>
      </c>
      <c r="AE11" s="28">
        <f>IF(AND(H11-$AB$1&gt;365,H11-$AB$1&lt;=730),AB11,0)</f>
        <v>0</v>
      </c>
      <c r="AF11" s="28">
        <f>IF(AND(H11-$AB$1&gt;730,H11-$AB$1&lt;=1095),AB11,0)</f>
        <v>0</v>
      </c>
      <c r="AG11" s="28">
        <f>IF(AND(H11-$AB$1&gt;1095,H11-$AB$1&lt;=1825),AB11,0)</f>
        <v>0</v>
      </c>
      <c r="AH11" s="28">
        <f>IF(H11-$AB$1&gt;1825,AB11,0)</f>
        <v>0</v>
      </c>
      <c r="AJ11" s="12"/>
    </row>
    <row r="12" spans="1:36" ht="15.6" customHeight="1" x14ac:dyDescent="0.3">
      <c r="A12" s="115"/>
      <c r="B12" s="131"/>
      <c r="C12" s="117"/>
      <c r="D12" s="118" t="str">
        <f>IF(W12&gt;0,"zwrócone","")</f>
        <v/>
      </c>
      <c r="E12" s="31">
        <f>SUBTOTAL(9,E10:E11)</f>
        <v>7634.99</v>
      </c>
      <c r="F12" s="31"/>
      <c r="G12" s="132"/>
      <c r="H12" s="120"/>
      <c r="I12" s="115"/>
      <c r="J12" s="115"/>
      <c r="K12" s="115"/>
      <c r="L12" s="31">
        <f>SUBTOTAL(9,L10:L11)</f>
        <v>0</v>
      </c>
      <c r="M12" s="31">
        <f t="shared" ref="M12:AH12" si="6">SUBTOTAL(9,M10:M11)</f>
        <v>0</v>
      </c>
      <c r="N12" s="31">
        <f t="shared" si="6"/>
        <v>0</v>
      </c>
      <c r="O12" s="31">
        <f t="shared" si="6"/>
        <v>0</v>
      </c>
      <c r="P12" s="31">
        <f t="shared" si="6"/>
        <v>0</v>
      </c>
      <c r="Q12" s="31">
        <f t="shared" si="6"/>
        <v>0</v>
      </c>
      <c r="R12" s="31">
        <f t="shared" si="6"/>
        <v>0</v>
      </c>
      <c r="S12" s="31">
        <f t="shared" si="6"/>
        <v>7634.99</v>
      </c>
      <c r="T12" s="31">
        <f t="shared" si="6"/>
        <v>0</v>
      </c>
      <c r="U12" s="31">
        <f t="shared" si="6"/>
        <v>0</v>
      </c>
      <c r="V12" s="31">
        <f t="shared" si="6"/>
        <v>0</v>
      </c>
      <c r="W12" s="31"/>
      <c r="X12" s="31">
        <f t="shared" si="6"/>
        <v>0</v>
      </c>
      <c r="Y12" s="31">
        <f t="shared" si="6"/>
        <v>0</v>
      </c>
      <c r="Z12" s="31">
        <f t="shared" si="6"/>
        <v>3637.29</v>
      </c>
      <c r="AA12" s="31">
        <f t="shared" si="6"/>
        <v>3997.7</v>
      </c>
      <c r="AB12" s="31">
        <f t="shared" si="6"/>
        <v>0</v>
      </c>
      <c r="AC12" s="31">
        <f t="shared" si="6"/>
        <v>3997.7</v>
      </c>
      <c r="AD12" s="31">
        <f t="shared" si="6"/>
        <v>0</v>
      </c>
      <c r="AE12" s="31">
        <f t="shared" si="6"/>
        <v>0</v>
      </c>
      <c r="AF12" s="31">
        <f t="shared" si="6"/>
        <v>0</v>
      </c>
      <c r="AG12" s="31">
        <f t="shared" si="6"/>
        <v>0</v>
      </c>
      <c r="AH12" s="31">
        <f t="shared" si="6"/>
        <v>0</v>
      </c>
      <c r="AJ12" s="12"/>
    </row>
    <row r="13" spans="1:36" ht="15.6" customHeight="1" x14ac:dyDescent="0.3">
      <c r="A13" s="90" t="s">
        <v>385</v>
      </c>
      <c r="B13" s="32">
        <v>1018175</v>
      </c>
      <c r="C13" s="83" t="s">
        <v>397</v>
      </c>
      <c r="D13" s="93" t="str">
        <f>IF(W13&gt;0,"zwrócone","")</f>
        <v/>
      </c>
      <c r="E13" s="22">
        <v>4730.88</v>
      </c>
      <c r="F13" s="22"/>
      <c r="G13" s="24">
        <v>45833</v>
      </c>
      <c r="H13" s="23">
        <v>46052</v>
      </c>
      <c r="I13" s="46">
        <v>0.7</v>
      </c>
      <c r="J13" s="46" t="s">
        <v>206</v>
      </c>
      <c r="K13" s="46" t="s">
        <v>192</v>
      </c>
      <c r="L13" s="30"/>
      <c r="M13" s="30"/>
      <c r="N13" s="25"/>
      <c r="O13" s="25"/>
      <c r="P13" s="25"/>
      <c r="Q13" s="25"/>
      <c r="R13" s="25"/>
      <c r="S13" s="27">
        <f>E13+L13+M13+N13+P13+O13+Q13+R13</f>
        <v>4730.88</v>
      </c>
      <c r="T13" s="28">
        <f>IF(H13-$T$1&gt;365,S13,0)</f>
        <v>0</v>
      </c>
      <c r="U13" s="28">
        <f>IF(H13-$T$1&lt;365,S13,0)</f>
        <v>4730.88</v>
      </c>
      <c r="V13" s="28">
        <f>IF(H13="",S13,0)</f>
        <v>0</v>
      </c>
      <c r="W13" s="37"/>
      <c r="X13" s="28"/>
      <c r="Y13" s="28"/>
      <c r="Z13" s="28"/>
      <c r="AA13" s="28">
        <f>S13-Z13-Y13-X13</f>
        <v>4730.88</v>
      </c>
      <c r="AB13" s="28">
        <f>IF(H13-$AB$1&gt;365,AA13,0)</f>
        <v>0</v>
      </c>
      <c r="AC13" s="28">
        <f>IF(H13-$AB$1&lt;=365,AA13,0)</f>
        <v>4730.88</v>
      </c>
      <c r="AD13" s="28">
        <f>IF(H13="",AA13,0)</f>
        <v>0</v>
      </c>
      <c r="AE13" s="28">
        <f>IF(AND(H13-$AB$1&gt;365,H13-$AB$1&lt;=730),AB13,0)</f>
        <v>0</v>
      </c>
      <c r="AF13" s="28">
        <f>IF(AND(H13-$AB$1&gt;730,H13-$AB$1&lt;=1095),AB13,0)</f>
        <v>0</v>
      </c>
      <c r="AG13" s="28">
        <f>IF(AND(H13-$AB$1&gt;1095,H13-$AB$1&lt;=1825),AB13,0)</f>
        <v>0</v>
      </c>
      <c r="AH13" s="28">
        <f>IF(H13-$AB$1&gt;1825,AB13,0)</f>
        <v>0</v>
      </c>
    </row>
    <row r="14" spans="1:36" ht="15.6" customHeight="1" x14ac:dyDescent="0.3">
      <c r="A14" s="90" t="s">
        <v>385</v>
      </c>
      <c r="B14" s="32">
        <v>1018175</v>
      </c>
      <c r="C14" s="83" t="s">
        <v>397</v>
      </c>
      <c r="D14" s="93" t="str">
        <f>IF(W14&gt;0,"zwrócone","")</f>
        <v/>
      </c>
      <c r="E14" s="22">
        <v>2027.52</v>
      </c>
      <c r="F14" s="22"/>
      <c r="G14" s="24">
        <v>45833</v>
      </c>
      <c r="H14" s="23">
        <v>46325</v>
      </c>
      <c r="I14" s="46">
        <v>0.3</v>
      </c>
      <c r="J14" s="46" t="s">
        <v>206</v>
      </c>
      <c r="K14" s="46" t="s">
        <v>192</v>
      </c>
      <c r="L14" s="30"/>
      <c r="M14" s="30"/>
      <c r="N14" s="25"/>
      <c r="O14" s="25"/>
      <c r="P14" s="25"/>
      <c r="Q14" s="25"/>
      <c r="R14" s="25"/>
      <c r="S14" s="27">
        <f>E14+L14+M14+N14+P14+O14+Q14+R14</f>
        <v>2027.52</v>
      </c>
      <c r="T14" s="28"/>
      <c r="U14" s="28"/>
      <c r="V14" s="28"/>
      <c r="W14" s="37"/>
      <c r="X14" s="28"/>
      <c r="Y14" s="28"/>
      <c r="Z14" s="28"/>
      <c r="AA14" s="28">
        <f>S14-Z14-Y14-X14</f>
        <v>2027.52</v>
      </c>
      <c r="AB14" s="28">
        <f>IF(H14-$AB$1&gt;365,AA14,0)</f>
        <v>2027.52</v>
      </c>
      <c r="AC14" s="28">
        <f>IF(H14-$AB$1&lt;=365,AA14,0)</f>
        <v>0</v>
      </c>
      <c r="AD14" s="28">
        <f>IF(H14="",AA14,0)</f>
        <v>0</v>
      </c>
      <c r="AE14" s="28">
        <f>IF(AND(H14-$AB$1&gt;365,H14-$AB$1&lt;=730),AB14,0)</f>
        <v>2027.52</v>
      </c>
      <c r="AF14" s="28">
        <f>IF(AND(H14-$AB$1&gt;730,H14-$AB$1&lt;=1095),AB14,0)</f>
        <v>0</v>
      </c>
      <c r="AG14" s="28">
        <f>IF(AND(H14-$AB$1&gt;1095,H14-$AB$1&lt;=1825),AB14,0)</f>
        <v>0</v>
      </c>
      <c r="AH14" s="28">
        <f>IF(H14-$AB$1&gt;1825,AB14,0)</f>
        <v>0</v>
      </c>
      <c r="AJ14" s="12"/>
    </row>
    <row r="15" spans="1:36" ht="15.6" customHeight="1" x14ac:dyDescent="0.3">
      <c r="A15" s="115"/>
      <c r="B15" s="131"/>
      <c r="C15" s="117"/>
      <c r="D15" s="118"/>
      <c r="E15" s="31">
        <f>SUBTOTAL(9,E13:E14)</f>
        <v>6758.4</v>
      </c>
      <c r="F15" s="31"/>
      <c r="G15" s="31"/>
      <c r="H15" s="31"/>
      <c r="I15" s="31"/>
      <c r="J15" s="31"/>
      <c r="K15" s="31"/>
      <c r="L15" s="31">
        <f t="shared" ref="L15:V15" si="7">SUBTOTAL(9,L13:L14)</f>
        <v>0</v>
      </c>
      <c r="M15" s="31">
        <f t="shared" si="7"/>
        <v>0</v>
      </c>
      <c r="N15" s="31">
        <f t="shared" si="7"/>
        <v>0</v>
      </c>
      <c r="O15" s="31">
        <f t="shared" si="7"/>
        <v>0</v>
      </c>
      <c r="P15" s="31">
        <f t="shared" si="7"/>
        <v>0</v>
      </c>
      <c r="Q15" s="31">
        <f t="shared" si="7"/>
        <v>0</v>
      </c>
      <c r="R15" s="31">
        <f t="shared" si="7"/>
        <v>0</v>
      </c>
      <c r="S15" s="31">
        <f t="shared" si="7"/>
        <v>6758.4</v>
      </c>
      <c r="T15" s="31">
        <f t="shared" si="7"/>
        <v>0</v>
      </c>
      <c r="U15" s="31">
        <f t="shared" si="7"/>
        <v>4730.88</v>
      </c>
      <c r="V15" s="31">
        <f t="shared" si="7"/>
        <v>0</v>
      </c>
      <c r="W15" s="31"/>
      <c r="X15" s="31">
        <f t="shared" ref="X15:AH15" si="8">SUBTOTAL(9,X13:X14)</f>
        <v>0</v>
      </c>
      <c r="Y15" s="31">
        <f t="shared" si="8"/>
        <v>0</v>
      </c>
      <c r="Z15" s="31">
        <f t="shared" si="8"/>
        <v>0</v>
      </c>
      <c r="AA15" s="31">
        <f t="shared" si="8"/>
        <v>6758.4</v>
      </c>
      <c r="AB15" s="31">
        <f t="shared" si="8"/>
        <v>2027.52</v>
      </c>
      <c r="AC15" s="31">
        <f t="shared" si="8"/>
        <v>4730.88</v>
      </c>
      <c r="AD15" s="31">
        <f t="shared" si="8"/>
        <v>0</v>
      </c>
      <c r="AE15" s="31">
        <f t="shared" si="8"/>
        <v>2027.52</v>
      </c>
      <c r="AF15" s="31">
        <f t="shared" si="8"/>
        <v>0</v>
      </c>
      <c r="AG15" s="31">
        <f t="shared" si="8"/>
        <v>0</v>
      </c>
      <c r="AH15" s="31">
        <f t="shared" si="8"/>
        <v>0</v>
      </c>
      <c r="AJ15" s="12"/>
    </row>
    <row r="16" spans="1:36" ht="15.6" customHeight="1" x14ac:dyDescent="0.3">
      <c r="A16" s="161" t="s">
        <v>382</v>
      </c>
      <c r="B16" s="162">
        <v>1018464</v>
      </c>
      <c r="C16" s="157" t="s">
        <v>383</v>
      </c>
      <c r="D16" s="158" t="str">
        <f>IF(W16&gt;0,"zwrócone","")</f>
        <v>zwrócone</v>
      </c>
      <c r="E16" s="159">
        <v>5320</v>
      </c>
      <c r="F16" s="159"/>
      <c r="G16" s="160">
        <v>45776</v>
      </c>
      <c r="H16" s="84">
        <v>45792</v>
      </c>
      <c r="I16" s="46">
        <v>0.7</v>
      </c>
      <c r="J16" s="46" t="s">
        <v>206</v>
      </c>
      <c r="K16" s="46" t="s">
        <v>195</v>
      </c>
      <c r="L16" s="30"/>
      <c r="M16" s="30"/>
      <c r="N16" s="25"/>
      <c r="O16" s="25"/>
      <c r="P16" s="25"/>
      <c r="Q16" s="25"/>
      <c r="R16" s="25"/>
      <c r="S16" s="27">
        <f>E16+L16+M16+N16+P16+O16+Q16+R16</f>
        <v>5320</v>
      </c>
      <c r="T16" s="28">
        <f>IF(H16-$T$1&gt;365,S16,0)</f>
        <v>0</v>
      </c>
      <c r="U16" s="28">
        <f>IF(H16-$T$1&lt;365,S16,0)</f>
        <v>5320</v>
      </c>
      <c r="V16" s="28">
        <f>IF(H16="",S16,0)</f>
        <v>0</v>
      </c>
      <c r="W16" s="37">
        <v>45777</v>
      </c>
      <c r="X16" s="28"/>
      <c r="Y16" s="28"/>
      <c r="Z16" s="28">
        <v>5320</v>
      </c>
      <c r="AA16" s="28">
        <f>S16-Z16-Y16-X16</f>
        <v>0</v>
      </c>
      <c r="AB16" s="28">
        <f>IF(H16-$AB$1&gt;365,AA16,0)</f>
        <v>0</v>
      </c>
      <c r="AC16" s="28">
        <f>IF(H16-$AB$1&lt;=365,AA16,0)</f>
        <v>0</v>
      </c>
      <c r="AD16" s="28">
        <f>IF(H16="",AA16,0)</f>
        <v>0</v>
      </c>
      <c r="AE16" s="28">
        <f>IF(AND(H16-$AB$1&gt;365,H16-$AB$1&lt;=730),AB16,0)</f>
        <v>0</v>
      </c>
      <c r="AF16" s="28">
        <f>IF(AND(H16-$AB$1&gt;730,H16-$AB$1&lt;=1095),AB16,0)</f>
        <v>0</v>
      </c>
      <c r="AG16" s="28">
        <f>IF(AND(H16-$AB$1&gt;1095,H16-$AB$1&lt;=1825),AB16,0)</f>
        <v>0</v>
      </c>
      <c r="AH16" s="28">
        <f>IF(H16-$AB$1&gt;1825,AB16,0)</f>
        <v>0</v>
      </c>
    </row>
    <row r="17" spans="1:36" ht="15.6" customHeight="1" x14ac:dyDescent="0.3">
      <c r="A17" s="90" t="s">
        <v>382</v>
      </c>
      <c r="B17" s="32">
        <v>1018464</v>
      </c>
      <c r="C17" s="83" t="s">
        <v>383</v>
      </c>
      <c r="D17" s="93" t="str">
        <f>IF(W17&gt;0,"zwrócone","")</f>
        <v/>
      </c>
      <c r="E17" s="22">
        <v>2280</v>
      </c>
      <c r="F17" s="22"/>
      <c r="G17" s="24">
        <v>45776</v>
      </c>
      <c r="H17" s="23">
        <v>46496</v>
      </c>
      <c r="I17" s="46">
        <v>0.3</v>
      </c>
      <c r="J17" s="46" t="s">
        <v>206</v>
      </c>
      <c r="K17" s="46" t="s">
        <v>195</v>
      </c>
      <c r="L17" s="30"/>
      <c r="M17" s="30"/>
      <c r="N17" s="25"/>
      <c r="O17" s="25"/>
      <c r="P17" s="25"/>
      <c r="Q17" s="25"/>
      <c r="R17" s="25"/>
      <c r="S17" s="27">
        <f>E17+L17+M17+N17+P17+O17+Q17+R17</f>
        <v>2280</v>
      </c>
      <c r="T17" s="28"/>
      <c r="U17" s="28"/>
      <c r="V17" s="28"/>
      <c r="W17" s="37"/>
      <c r="X17" s="28"/>
      <c r="Y17" s="28"/>
      <c r="Z17" s="28"/>
      <c r="AA17" s="28">
        <f>S17-Z17-Y17-X17</f>
        <v>2280</v>
      </c>
      <c r="AB17" s="28">
        <f>IF(H17-$AB$1&gt;365,AA17,0)</f>
        <v>2280</v>
      </c>
      <c r="AC17" s="28">
        <f>IF(H17-$AB$1&lt;=365,AA17,0)</f>
        <v>0</v>
      </c>
      <c r="AD17" s="28">
        <f>IF(H17="",AA17,0)</f>
        <v>0</v>
      </c>
      <c r="AE17" s="28">
        <f>IF(AND(H17-$AB$1&gt;365,H17-$AB$1&lt;=730),AB17,0)</f>
        <v>2280</v>
      </c>
      <c r="AF17" s="28">
        <f>IF(AND(H17-$AB$1&gt;730,H17-$AB$1&lt;=1095),AB17,0)</f>
        <v>0</v>
      </c>
      <c r="AG17" s="28">
        <f>IF(AND(H17-$AB$1&gt;1095,H17-$AB$1&lt;=1825),AB17,0)</f>
        <v>0</v>
      </c>
      <c r="AH17" s="28">
        <f>IF(H17-$AB$1&gt;1825,AB17,0)</f>
        <v>0</v>
      </c>
      <c r="AJ17" s="12"/>
    </row>
    <row r="18" spans="1:36" ht="15.6" customHeight="1" x14ac:dyDescent="0.3">
      <c r="A18" s="115"/>
      <c r="B18" s="131"/>
      <c r="C18" s="117"/>
      <c r="D18" s="118"/>
      <c r="E18" s="31">
        <f>SUBTOTAL(9,E16:E17)</f>
        <v>7600</v>
      </c>
      <c r="F18" s="31"/>
      <c r="G18" s="31"/>
      <c r="H18" s="31"/>
      <c r="I18" s="31"/>
      <c r="J18" s="31"/>
      <c r="K18" s="31"/>
      <c r="L18" s="31">
        <f t="shared" ref="L18:AH18" si="9">SUBTOTAL(9,L16:L17)</f>
        <v>0</v>
      </c>
      <c r="M18" s="31">
        <f t="shared" si="9"/>
        <v>0</v>
      </c>
      <c r="N18" s="31">
        <f t="shared" si="9"/>
        <v>0</v>
      </c>
      <c r="O18" s="31">
        <f t="shared" si="9"/>
        <v>0</v>
      </c>
      <c r="P18" s="31">
        <f t="shared" si="9"/>
        <v>0</v>
      </c>
      <c r="Q18" s="31">
        <f t="shared" si="9"/>
        <v>0</v>
      </c>
      <c r="R18" s="31">
        <f t="shared" si="9"/>
        <v>0</v>
      </c>
      <c r="S18" s="31">
        <f t="shared" si="9"/>
        <v>7600</v>
      </c>
      <c r="T18" s="31">
        <f t="shared" si="9"/>
        <v>0</v>
      </c>
      <c r="U18" s="31">
        <f t="shared" si="9"/>
        <v>5320</v>
      </c>
      <c r="V18" s="31">
        <f t="shared" si="9"/>
        <v>0</v>
      </c>
      <c r="W18" s="31"/>
      <c r="X18" s="31">
        <f t="shared" si="9"/>
        <v>0</v>
      </c>
      <c r="Y18" s="31">
        <f t="shared" si="9"/>
        <v>0</v>
      </c>
      <c r="Z18" s="31">
        <f t="shared" si="9"/>
        <v>5320</v>
      </c>
      <c r="AA18" s="31">
        <f t="shared" si="9"/>
        <v>2280</v>
      </c>
      <c r="AB18" s="31">
        <f t="shared" si="9"/>
        <v>2280</v>
      </c>
      <c r="AC18" s="31">
        <f t="shared" si="9"/>
        <v>0</v>
      </c>
      <c r="AD18" s="31">
        <f t="shared" si="9"/>
        <v>0</v>
      </c>
      <c r="AE18" s="31">
        <f t="shared" si="9"/>
        <v>2280</v>
      </c>
      <c r="AF18" s="31">
        <f t="shared" si="9"/>
        <v>0</v>
      </c>
      <c r="AG18" s="31">
        <f t="shared" si="9"/>
        <v>0</v>
      </c>
      <c r="AH18" s="31">
        <f t="shared" si="9"/>
        <v>0</v>
      </c>
      <c r="AJ18" s="12"/>
    </row>
    <row r="19" spans="1:36" ht="34.950000000000003" customHeight="1" x14ac:dyDescent="0.3">
      <c r="A19" s="161" t="s">
        <v>14</v>
      </c>
      <c r="B19" s="162">
        <v>1018468</v>
      </c>
      <c r="C19" s="157" t="s">
        <v>191</v>
      </c>
      <c r="D19" s="158" t="str">
        <f t="shared" si="0"/>
        <v>zwrócone</v>
      </c>
      <c r="E19" s="159">
        <f>4315.2+213.6</f>
        <v>4528.8</v>
      </c>
      <c r="F19" s="159"/>
      <c r="G19" s="160" t="s">
        <v>156</v>
      </c>
      <c r="H19" s="84">
        <v>46545</v>
      </c>
      <c r="I19" s="46">
        <v>0.3</v>
      </c>
      <c r="J19" s="46" t="s">
        <v>257</v>
      </c>
      <c r="K19" s="6" t="s">
        <v>194</v>
      </c>
      <c r="L19" s="30"/>
      <c r="M19" s="30"/>
      <c r="N19" s="25">
        <v>0</v>
      </c>
      <c r="O19" s="25">
        <v>221.43</v>
      </c>
      <c r="P19" s="25">
        <f>ROUND(((E19*6.01%)/365)*365,2)</f>
        <v>272.18</v>
      </c>
      <c r="Q19" s="25">
        <f>ROUND((E19*5.31%),2)</f>
        <v>240.48</v>
      </c>
      <c r="R19" s="25">
        <f>ROUND(((E19*5.37%)/365)*75,2)</f>
        <v>49.97</v>
      </c>
      <c r="S19" s="27">
        <f t="shared" si="1"/>
        <v>5312.8600000000006</v>
      </c>
      <c r="T19" s="28">
        <f>IF(H19-$T$1&gt;365,S19,0)</f>
        <v>5312.8600000000006</v>
      </c>
      <c r="U19" s="28">
        <f>IF(H19-$T$1&lt;365,S19,0)</f>
        <v>0</v>
      </c>
      <c r="V19" s="28">
        <f>IF(H19="",S19,0)</f>
        <v>0</v>
      </c>
      <c r="W19" s="37">
        <v>45733</v>
      </c>
      <c r="X19" s="28">
        <v>734.09</v>
      </c>
      <c r="Y19" s="28">
        <v>49.97</v>
      </c>
      <c r="Z19" s="28">
        <v>4528.8</v>
      </c>
      <c r="AA19" s="28">
        <f>S19-Z19-Y19-X19</f>
        <v>0</v>
      </c>
      <c r="AB19" s="28">
        <f>IF(H19-$AB$1&gt;365,AA19,0)</f>
        <v>0</v>
      </c>
      <c r="AC19" s="28">
        <f>IF(H19-$AB$1&lt;=365,AA19,0)</f>
        <v>0</v>
      </c>
      <c r="AD19" s="28">
        <f>IF(H19="",AA19,0)</f>
        <v>0</v>
      </c>
      <c r="AE19" s="28">
        <f>IF(AND(H19-$AB$1&gt;365,H19-$AB$1&lt;=730),AB19,0)</f>
        <v>0</v>
      </c>
      <c r="AF19" s="28">
        <f>IF(AND(H19-$AB$1&gt;730,H19-$AB$1&lt;=1095),AB19,0)</f>
        <v>0</v>
      </c>
      <c r="AG19" s="28">
        <f>IF(AND(H19-$AB$1&gt;1095,H19-$AB$1&lt;=1825),AB19,0)</f>
        <v>0</v>
      </c>
      <c r="AH19" s="28">
        <f>IF(H19-$AB$1&gt;1825,AB19,0)</f>
        <v>0</v>
      </c>
    </row>
    <row r="20" spans="1:36" ht="31.2" customHeight="1" x14ac:dyDescent="0.3">
      <c r="A20" s="161" t="s">
        <v>14</v>
      </c>
      <c r="B20" s="162">
        <v>1018468</v>
      </c>
      <c r="C20" s="157" t="s">
        <v>123</v>
      </c>
      <c r="D20" s="158" t="str">
        <f t="shared" si="0"/>
        <v>zwrócone</v>
      </c>
      <c r="E20" s="159">
        <v>938.14</v>
      </c>
      <c r="F20" s="159"/>
      <c r="G20" s="160">
        <v>44385</v>
      </c>
      <c r="H20" s="84">
        <v>46194</v>
      </c>
      <c r="I20" s="46">
        <v>0.3</v>
      </c>
      <c r="J20" s="46" t="s">
        <v>206</v>
      </c>
      <c r="K20" s="46" t="s">
        <v>195</v>
      </c>
      <c r="L20" s="30"/>
      <c r="M20" s="30"/>
      <c r="N20" s="25"/>
      <c r="O20" s="25"/>
      <c r="P20" s="25"/>
      <c r="Q20" s="25"/>
      <c r="R20" s="25"/>
      <c r="S20" s="27">
        <f t="shared" si="1"/>
        <v>938.14</v>
      </c>
      <c r="T20" s="28"/>
      <c r="U20" s="28"/>
      <c r="V20" s="28"/>
      <c r="W20" s="37">
        <v>45740</v>
      </c>
      <c r="X20" s="28"/>
      <c r="Y20" s="28"/>
      <c r="Z20" s="28">
        <v>938.14</v>
      </c>
      <c r="AA20" s="28">
        <f>S20-Z20-Y20-X20</f>
        <v>0</v>
      </c>
      <c r="AB20" s="28">
        <f>IF(H20-$AB$1&gt;365,AA20,0)</f>
        <v>0</v>
      </c>
      <c r="AC20" s="28">
        <f>IF(H20-$AB$1&lt;=365,AA20,0)</f>
        <v>0</v>
      </c>
      <c r="AD20" s="28">
        <f>IF(H20="",AA20,0)</f>
        <v>0</v>
      </c>
      <c r="AE20" s="28">
        <f>IF(AND(H20-$AB$1&gt;365,H20-$AB$1&lt;=730),AB20,0)</f>
        <v>0</v>
      </c>
      <c r="AF20" s="28">
        <f>IF(AND(H20-$AB$1&gt;730,H20-$AB$1&lt;=1095),AB20,0)</f>
        <v>0</v>
      </c>
      <c r="AG20" s="28">
        <f>IF(AND(H20-$AB$1&gt;1095,H20-$AB$1&lt;=1825),AB20,0)</f>
        <v>0</v>
      </c>
      <c r="AH20" s="28">
        <f>IF(H20-$AB$1&gt;1825,AB20,0)</f>
        <v>0</v>
      </c>
      <c r="AJ20" s="12"/>
    </row>
    <row r="21" spans="1:36" ht="16.95" customHeight="1" x14ac:dyDescent="0.3">
      <c r="A21" s="130"/>
      <c r="B21" s="131"/>
      <c r="C21" s="117"/>
      <c r="D21" s="118" t="str">
        <f t="shared" si="0"/>
        <v/>
      </c>
      <c r="E21" s="31">
        <f>SUBTOTAL(9,E19:E20)</f>
        <v>5466.9400000000005</v>
      </c>
      <c r="F21" s="31"/>
      <c r="G21" s="132"/>
      <c r="H21" s="120"/>
      <c r="I21" s="115"/>
      <c r="J21" s="115"/>
      <c r="K21" s="115"/>
      <c r="L21" s="31">
        <f t="shared" ref="L21:Q21" si="10">SUBTOTAL(9,L19:L20)</f>
        <v>0</v>
      </c>
      <c r="M21" s="31">
        <f t="shared" si="10"/>
        <v>0</v>
      </c>
      <c r="N21" s="31">
        <f t="shared" si="10"/>
        <v>0</v>
      </c>
      <c r="O21" s="31">
        <f t="shared" si="10"/>
        <v>221.43</v>
      </c>
      <c r="P21" s="31">
        <f t="shared" si="10"/>
        <v>272.18</v>
      </c>
      <c r="Q21" s="31">
        <f t="shared" si="10"/>
        <v>240.48</v>
      </c>
      <c r="R21" s="31"/>
      <c r="S21" s="31">
        <f t="shared" si="1"/>
        <v>6201.0300000000007</v>
      </c>
      <c r="T21" s="31">
        <f>SUBTOTAL(9,T19:T19)</f>
        <v>5312.8600000000006</v>
      </c>
      <c r="U21" s="31">
        <f>SUBTOTAL(9,U19:U19)</f>
        <v>0</v>
      </c>
      <c r="V21" s="31">
        <f>SUBTOTAL(9,V19:V19)</f>
        <v>0</v>
      </c>
      <c r="W21" s="31"/>
      <c r="X21" s="31">
        <f>SUBTOTAL(9,X19:X19)</f>
        <v>734.09</v>
      </c>
      <c r="Y21" s="31">
        <f>SUBTOTAL(9,Y19:Y19)</f>
        <v>49.97</v>
      </c>
      <c r="Z21" s="31">
        <f>SUBTOTAL(9,Z19:Z19)</f>
        <v>4528.8</v>
      </c>
      <c r="AA21" s="31">
        <f t="shared" ref="AA21:AH21" si="11">SUBTOTAL(9,AA19:AA20)</f>
        <v>0</v>
      </c>
      <c r="AB21" s="31">
        <f t="shared" si="11"/>
        <v>0</v>
      </c>
      <c r="AC21" s="31">
        <f t="shared" si="11"/>
        <v>0</v>
      </c>
      <c r="AD21" s="31">
        <f t="shared" si="11"/>
        <v>0</v>
      </c>
      <c r="AE21" s="31">
        <f t="shared" si="11"/>
        <v>0</v>
      </c>
      <c r="AF21" s="31">
        <f t="shared" si="11"/>
        <v>0</v>
      </c>
      <c r="AG21" s="31">
        <f t="shared" si="11"/>
        <v>0</v>
      </c>
      <c r="AH21" s="31">
        <f t="shared" si="11"/>
        <v>0</v>
      </c>
      <c r="AJ21" s="12"/>
    </row>
    <row r="22" spans="1:36" ht="16.95" customHeight="1" x14ac:dyDescent="0.3">
      <c r="A22" s="90" t="s">
        <v>15</v>
      </c>
      <c r="B22" s="32">
        <v>1018499</v>
      </c>
      <c r="C22" s="83" t="s">
        <v>16</v>
      </c>
      <c r="D22" s="93" t="str">
        <f t="shared" si="0"/>
        <v/>
      </c>
      <c r="E22" s="22">
        <v>5580</v>
      </c>
      <c r="F22" s="22"/>
      <c r="G22" s="24">
        <v>43866</v>
      </c>
      <c r="H22" s="23">
        <v>45976</v>
      </c>
      <c r="I22" s="46">
        <v>0.3</v>
      </c>
      <c r="J22" s="46" t="s">
        <v>257</v>
      </c>
      <c r="K22" s="6" t="s">
        <v>194</v>
      </c>
      <c r="L22" s="25"/>
      <c r="M22" s="25">
        <v>9</v>
      </c>
      <c r="N22" s="25">
        <v>2.09</v>
      </c>
      <c r="O22" s="25">
        <v>280.62</v>
      </c>
      <c r="P22" s="25">
        <f>ROUND(((E22*6.01%)/365)*365,2)</f>
        <v>335.36</v>
      </c>
      <c r="Q22" s="25">
        <f>ROUND((E22*5.31%),2)</f>
        <v>296.3</v>
      </c>
      <c r="R22" s="25"/>
      <c r="S22" s="27">
        <f t="shared" si="1"/>
        <v>6503.37</v>
      </c>
      <c r="T22" s="28">
        <f>IF(H22-$T$1&gt;365,S22,0)</f>
        <v>0</v>
      </c>
      <c r="U22" s="28">
        <f>IF(H22-$T$1&lt;365,S22,0)</f>
        <v>6503.37</v>
      </c>
      <c r="V22" s="28">
        <f>IF(H22="",S22,0)</f>
        <v>0</v>
      </c>
      <c r="W22" s="8"/>
      <c r="X22" s="28"/>
      <c r="Y22" s="28"/>
      <c r="Z22" s="28"/>
      <c r="AA22" s="28">
        <f>S22-Z22-Y22-X22</f>
        <v>6503.37</v>
      </c>
      <c r="AB22" s="28">
        <f t="shared" ref="AB22:AB36" si="12">IF(H22-$AB$1&gt;365,AA22,0)</f>
        <v>0</v>
      </c>
      <c r="AC22" s="28">
        <f t="shared" ref="AC22:AC36" si="13">IF(H22-$AB$1&lt;=365,AA22,0)</f>
        <v>6503.37</v>
      </c>
      <c r="AD22" s="28">
        <f t="shared" ref="AD22:AD36" si="14">IF(H22="",AA22,0)</f>
        <v>0</v>
      </c>
      <c r="AE22" s="28">
        <f t="shared" ref="AE22:AE36" si="15">IF(AND(H22-$AB$1&gt;365,H22-$AB$1&lt;=730),AB22,0)</f>
        <v>0</v>
      </c>
      <c r="AF22" s="28">
        <f t="shared" ref="AF22:AF36" si="16">IF(AND(H22-$AB$1&gt;730,H22-$AB$1&lt;=1095),AB22,0)</f>
        <v>0</v>
      </c>
      <c r="AG22" s="28">
        <f t="shared" ref="AG22:AG36" si="17">IF(AND(H22-$AB$1&gt;1095,H22-$AB$1&lt;=1825),AB22,0)</f>
        <v>0</v>
      </c>
      <c r="AH22" s="28">
        <f t="shared" ref="AH22:AH36" si="18">IF(H22-$AB$1&gt;1825,AB22,0)</f>
        <v>0</v>
      </c>
    </row>
    <row r="23" spans="1:36" ht="16.95" customHeight="1" x14ac:dyDescent="0.3">
      <c r="A23" s="161" t="s">
        <v>15</v>
      </c>
      <c r="B23" s="162">
        <v>1018499</v>
      </c>
      <c r="C23" s="157" t="s">
        <v>118</v>
      </c>
      <c r="D23" s="158" t="str">
        <f t="shared" si="0"/>
        <v>zwrócone</v>
      </c>
      <c r="E23" s="159">
        <v>2250</v>
      </c>
      <c r="F23" s="159"/>
      <c r="G23" s="160">
        <v>44356</v>
      </c>
      <c r="H23" s="84">
        <v>45741</v>
      </c>
      <c r="I23" s="46">
        <v>0.3</v>
      </c>
      <c r="J23" s="46" t="s">
        <v>257</v>
      </c>
      <c r="K23" s="6" t="s">
        <v>194</v>
      </c>
      <c r="L23" s="25"/>
      <c r="M23" s="25"/>
      <c r="N23" s="25"/>
      <c r="O23" s="25">
        <v>113.15</v>
      </c>
      <c r="P23" s="25">
        <f>ROUND(((E23*6.01%)/365)*365,2)</f>
        <v>135.22999999999999</v>
      </c>
      <c r="Q23" s="25">
        <f>ROUND((E23*5.31%),2)</f>
        <v>119.48</v>
      </c>
      <c r="R23" s="25">
        <f>ROUND(((E23*5.37%)/365)*76,2)</f>
        <v>25.16</v>
      </c>
      <c r="S23" s="27">
        <f t="shared" si="1"/>
        <v>2643.02</v>
      </c>
      <c r="T23" s="28"/>
      <c r="U23" s="28"/>
      <c r="V23" s="28"/>
      <c r="W23" s="37">
        <v>45734</v>
      </c>
      <c r="X23" s="28">
        <v>367.86</v>
      </c>
      <c r="Y23" s="28">
        <v>25.16</v>
      </c>
      <c r="Z23" s="28">
        <v>2250</v>
      </c>
      <c r="AA23" s="28">
        <f>S23-Z23-Y23-X23</f>
        <v>0</v>
      </c>
      <c r="AB23" s="28">
        <f t="shared" si="12"/>
        <v>0</v>
      </c>
      <c r="AC23" s="28">
        <f t="shared" si="13"/>
        <v>0</v>
      </c>
      <c r="AD23" s="28">
        <f t="shared" si="14"/>
        <v>0</v>
      </c>
      <c r="AE23" s="28">
        <f t="shared" si="15"/>
        <v>0</v>
      </c>
      <c r="AF23" s="28">
        <f t="shared" si="16"/>
        <v>0</v>
      </c>
      <c r="AG23" s="28">
        <f t="shared" si="17"/>
        <v>0</v>
      </c>
      <c r="AH23" s="28">
        <f t="shared" si="18"/>
        <v>0</v>
      </c>
    </row>
    <row r="24" spans="1:36" ht="16.95" customHeight="1" x14ac:dyDescent="0.3">
      <c r="A24" s="90" t="s">
        <v>15</v>
      </c>
      <c r="B24" s="32">
        <v>1018499</v>
      </c>
      <c r="C24" s="83" t="s">
        <v>153</v>
      </c>
      <c r="D24" s="93" t="str">
        <f t="shared" si="0"/>
        <v/>
      </c>
      <c r="E24" s="22">
        <v>2700</v>
      </c>
      <c r="F24" s="22"/>
      <c r="G24" s="24">
        <v>44907</v>
      </c>
      <c r="H24" s="23">
        <v>46101</v>
      </c>
      <c r="I24" s="46">
        <v>0.3</v>
      </c>
      <c r="J24" s="46" t="s">
        <v>206</v>
      </c>
      <c r="K24" s="46" t="s">
        <v>218</v>
      </c>
      <c r="L24" s="25"/>
      <c r="M24" s="25"/>
      <c r="N24" s="25"/>
      <c r="O24" s="25"/>
      <c r="P24" s="25"/>
      <c r="Q24" s="25"/>
      <c r="R24" s="25"/>
      <c r="S24" s="27">
        <f t="shared" si="1"/>
        <v>2700</v>
      </c>
      <c r="T24" s="28"/>
      <c r="U24" s="28"/>
      <c r="V24" s="28"/>
      <c r="W24" s="37"/>
      <c r="X24" s="28"/>
      <c r="Y24" s="28"/>
      <c r="Z24" s="28"/>
      <c r="AA24" s="28">
        <f>S24-Z24-Y24-X24</f>
        <v>2700</v>
      </c>
      <c r="AB24" s="28">
        <f t="shared" si="12"/>
        <v>0</v>
      </c>
      <c r="AC24" s="28">
        <f t="shared" si="13"/>
        <v>2700</v>
      </c>
      <c r="AD24" s="28">
        <f t="shared" si="14"/>
        <v>0</v>
      </c>
      <c r="AE24" s="28">
        <f t="shared" si="15"/>
        <v>0</v>
      </c>
      <c r="AF24" s="28">
        <f t="shared" si="16"/>
        <v>0</v>
      </c>
      <c r="AG24" s="28">
        <f t="shared" si="17"/>
        <v>0</v>
      </c>
      <c r="AH24" s="28">
        <f t="shared" si="18"/>
        <v>0</v>
      </c>
      <c r="AJ24" s="12"/>
    </row>
    <row r="25" spans="1:36" ht="16.95" customHeight="1" x14ac:dyDescent="0.3">
      <c r="A25" s="90" t="s">
        <v>15</v>
      </c>
      <c r="B25" s="32">
        <v>1018499</v>
      </c>
      <c r="C25" s="83" t="s">
        <v>157</v>
      </c>
      <c r="D25" s="93" t="str">
        <f t="shared" si="0"/>
        <v/>
      </c>
      <c r="E25" s="22">
        <f>2490+300</f>
        <v>2790</v>
      </c>
      <c r="F25" s="22" t="s">
        <v>158</v>
      </c>
      <c r="G25" s="24" t="s">
        <v>179</v>
      </c>
      <c r="H25" s="23">
        <v>46188</v>
      </c>
      <c r="I25" s="46">
        <v>0.3</v>
      </c>
      <c r="J25" s="46" t="s">
        <v>206</v>
      </c>
      <c r="K25" s="46" t="s">
        <v>204</v>
      </c>
      <c r="L25" s="25"/>
      <c r="M25" s="25"/>
      <c r="N25" s="25"/>
      <c r="O25" s="25"/>
      <c r="P25" s="25"/>
      <c r="Q25" s="25"/>
      <c r="R25" s="25"/>
      <c r="S25" s="27">
        <f t="shared" si="1"/>
        <v>2790</v>
      </c>
      <c r="T25" s="28"/>
      <c r="U25" s="28"/>
      <c r="V25" s="28"/>
      <c r="W25" s="8"/>
      <c r="X25" s="28"/>
      <c r="Y25" s="28"/>
      <c r="Z25" s="28"/>
      <c r="AA25" s="28">
        <f>S25-Z25-Y25-X25</f>
        <v>2790</v>
      </c>
      <c r="AB25" s="28">
        <f t="shared" si="12"/>
        <v>0</v>
      </c>
      <c r="AC25" s="28">
        <f t="shared" si="13"/>
        <v>2790</v>
      </c>
      <c r="AD25" s="28">
        <f t="shared" si="14"/>
        <v>0</v>
      </c>
      <c r="AE25" s="28">
        <f t="shared" si="15"/>
        <v>0</v>
      </c>
      <c r="AF25" s="28">
        <f t="shared" si="16"/>
        <v>0</v>
      </c>
      <c r="AG25" s="28">
        <f t="shared" si="17"/>
        <v>0</v>
      </c>
      <c r="AH25" s="28">
        <f t="shared" si="18"/>
        <v>0</v>
      </c>
      <c r="AJ25" s="12"/>
    </row>
    <row r="26" spans="1:36" ht="16.95" customHeight="1" x14ac:dyDescent="0.3">
      <c r="A26" s="90" t="s">
        <v>15</v>
      </c>
      <c r="B26" s="32">
        <v>1018499</v>
      </c>
      <c r="C26" s="83" t="s">
        <v>229</v>
      </c>
      <c r="D26" s="93" t="str">
        <f t="shared" si="0"/>
        <v/>
      </c>
      <c r="E26" s="22">
        <v>1590</v>
      </c>
      <c r="F26" s="22"/>
      <c r="G26" s="24">
        <v>45078</v>
      </c>
      <c r="H26" s="23">
        <v>46123</v>
      </c>
      <c r="I26" s="46">
        <v>0.3</v>
      </c>
      <c r="J26" s="46" t="s">
        <v>206</v>
      </c>
      <c r="K26" s="46" t="s">
        <v>192</v>
      </c>
      <c r="L26" s="25"/>
      <c r="M26" s="25"/>
      <c r="N26" s="25"/>
      <c r="O26" s="25"/>
      <c r="P26" s="25"/>
      <c r="Q26" s="25"/>
      <c r="R26" s="25"/>
      <c r="S26" s="27">
        <f t="shared" si="1"/>
        <v>1590</v>
      </c>
      <c r="T26" s="28"/>
      <c r="U26" s="28"/>
      <c r="V26" s="28"/>
      <c r="W26" s="8"/>
      <c r="X26" s="28"/>
      <c r="Y26" s="28"/>
      <c r="Z26" s="28"/>
      <c r="AA26" s="28">
        <f t="shared" ref="AA26:AA34" si="19">S26-Z26-Y26-X26</f>
        <v>1590</v>
      </c>
      <c r="AB26" s="28">
        <f t="shared" si="12"/>
        <v>0</v>
      </c>
      <c r="AC26" s="28">
        <f t="shared" si="13"/>
        <v>1590</v>
      </c>
      <c r="AD26" s="28">
        <f t="shared" si="14"/>
        <v>0</v>
      </c>
      <c r="AE26" s="28">
        <f t="shared" si="15"/>
        <v>0</v>
      </c>
      <c r="AF26" s="28">
        <f t="shared" si="16"/>
        <v>0</v>
      </c>
      <c r="AG26" s="28">
        <f t="shared" si="17"/>
        <v>0</v>
      </c>
      <c r="AH26" s="28">
        <f t="shared" si="18"/>
        <v>0</v>
      </c>
      <c r="AJ26" s="12"/>
    </row>
    <row r="27" spans="1:36" ht="16.95" customHeight="1" x14ac:dyDescent="0.3">
      <c r="A27" s="90" t="s">
        <v>15</v>
      </c>
      <c r="B27" s="32">
        <v>1018499</v>
      </c>
      <c r="C27" s="83" t="s">
        <v>230</v>
      </c>
      <c r="D27" s="93" t="str">
        <f t="shared" si="0"/>
        <v/>
      </c>
      <c r="E27" s="22">
        <v>1590</v>
      </c>
      <c r="F27" s="22"/>
      <c r="G27" s="24">
        <v>45078</v>
      </c>
      <c r="H27" s="23">
        <v>46136</v>
      </c>
      <c r="I27" s="46">
        <v>0.3</v>
      </c>
      <c r="J27" s="46" t="s">
        <v>206</v>
      </c>
      <c r="K27" s="46" t="s">
        <v>192</v>
      </c>
      <c r="L27" s="25"/>
      <c r="M27" s="25"/>
      <c r="N27" s="25"/>
      <c r="O27" s="25"/>
      <c r="P27" s="25"/>
      <c r="Q27" s="25"/>
      <c r="R27" s="25"/>
      <c r="S27" s="27">
        <f t="shared" si="1"/>
        <v>1590</v>
      </c>
      <c r="T27" s="28"/>
      <c r="U27" s="28"/>
      <c r="V27" s="28"/>
      <c r="W27" s="8"/>
      <c r="X27" s="28"/>
      <c r="Y27" s="28"/>
      <c r="Z27" s="28"/>
      <c r="AA27" s="28">
        <f t="shared" si="19"/>
        <v>1590</v>
      </c>
      <c r="AB27" s="28">
        <f t="shared" si="12"/>
        <v>0</v>
      </c>
      <c r="AC27" s="28">
        <f t="shared" si="13"/>
        <v>1590</v>
      </c>
      <c r="AD27" s="28">
        <f t="shared" si="14"/>
        <v>0</v>
      </c>
      <c r="AE27" s="28">
        <f t="shared" si="15"/>
        <v>0</v>
      </c>
      <c r="AF27" s="28">
        <f t="shared" si="16"/>
        <v>0</v>
      </c>
      <c r="AG27" s="28">
        <f t="shared" si="17"/>
        <v>0</v>
      </c>
      <c r="AH27" s="28">
        <f t="shared" si="18"/>
        <v>0</v>
      </c>
      <c r="AJ27" s="12"/>
    </row>
    <row r="28" spans="1:36" ht="16.95" customHeight="1" x14ac:dyDescent="0.3">
      <c r="A28" s="90" t="s">
        <v>15</v>
      </c>
      <c r="B28" s="32">
        <v>1018499</v>
      </c>
      <c r="C28" s="83" t="s">
        <v>231</v>
      </c>
      <c r="D28" s="93" t="str">
        <f t="shared" si="0"/>
        <v/>
      </c>
      <c r="E28" s="22">
        <v>1590</v>
      </c>
      <c r="F28" s="22"/>
      <c r="G28" s="24">
        <v>45078</v>
      </c>
      <c r="H28" s="23">
        <v>46003</v>
      </c>
      <c r="I28" s="46">
        <v>0.3</v>
      </c>
      <c r="J28" s="46" t="s">
        <v>206</v>
      </c>
      <c r="K28" s="46" t="s">
        <v>192</v>
      </c>
      <c r="L28" s="25"/>
      <c r="M28" s="25"/>
      <c r="N28" s="25"/>
      <c r="O28" s="25"/>
      <c r="P28" s="25"/>
      <c r="Q28" s="25"/>
      <c r="R28" s="25"/>
      <c r="S28" s="27">
        <f t="shared" si="1"/>
        <v>1590</v>
      </c>
      <c r="T28" s="28"/>
      <c r="U28" s="28"/>
      <c r="V28" s="28"/>
      <c r="W28" s="8"/>
      <c r="X28" s="28"/>
      <c r="Y28" s="28"/>
      <c r="Z28" s="28"/>
      <c r="AA28" s="28">
        <f t="shared" si="19"/>
        <v>1590</v>
      </c>
      <c r="AB28" s="28">
        <f t="shared" si="12"/>
        <v>0</v>
      </c>
      <c r="AC28" s="28">
        <f t="shared" si="13"/>
        <v>1590</v>
      </c>
      <c r="AD28" s="28">
        <f t="shared" si="14"/>
        <v>0</v>
      </c>
      <c r="AE28" s="28">
        <f t="shared" si="15"/>
        <v>0</v>
      </c>
      <c r="AF28" s="28">
        <f t="shared" si="16"/>
        <v>0</v>
      </c>
      <c r="AG28" s="28">
        <f t="shared" si="17"/>
        <v>0</v>
      </c>
      <c r="AH28" s="28">
        <f t="shared" si="18"/>
        <v>0</v>
      </c>
      <c r="AJ28" s="12"/>
    </row>
    <row r="29" spans="1:36" ht="16.95" customHeight="1" x14ac:dyDescent="0.3">
      <c r="A29" s="90" t="s">
        <v>15</v>
      </c>
      <c r="B29" s="32">
        <v>1018499</v>
      </c>
      <c r="C29" s="83" t="s">
        <v>241</v>
      </c>
      <c r="D29" s="93" t="str">
        <f t="shared" si="0"/>
        <v/>
      </c>
      <c r="E29" s="22">
        <v>4590</v>
      </c>
      <c r="F29" s="22"/>
      <c r="G29" s="24">
        <v>45126</v>
      </c>
      <c r="H29" s="23">
        <v>46006</v>
      </c>
      <c r="I29" s="46">
        <v>0.3</v>
      </c>
      <c r="J29" s="46" t="s">
        <v>206</v>
      </c>
      <c r="K29" s="46" t="s">
        <v>195</v>
      </c>
      <c r="L29" s="25"/>
      <c r="M29" s="25"/>
      <c r="N29" s="25"/>
      <c r="O29" s="25"/>
      <c r="P29" s="25"/>
      <c r="Q29" s="25"/>
      <c r="R29" s="25"/>
      <c r="S29" s="27">
        <f t="shared" si="1"/>
        <v>4590</v>
      </c>
      <c r="T29" s="28"/>
      <c r="U29" s="28"/>
      <c r="V29" s="28"/>
      <c r="W29" s="8"/>
      <c r="X29" s="28"/>
      <c r="Y29" s="28"/>
      <c r="Z29" s="28"/>
      <c r="AA29" s="28">
        <f t="shared" si="19"/>
        <v>4590</v>
      </c>
      <c r="AB29" s="28">
        <f t="shared" si="12"/>
        <v>0</v>
      </c>
      <c r="AC29" s="28">
        <f t="shared" si="13"/>
        <v>4590</v>
      </c>
      <c r="AD29" s="28">
        <f t="shared" si="14"/>
        <v>0</v>
      </c>
      <c r="AE29" s="28">
        <f t="shared" si="15"/>
        <v>0</v>
      </c>
      <c r="AF29" s="28">
        <f t="shared" si="16"/>
        <v>0</v>
      </c>
      <c r="AG29" s="28">
        <f t="shared" si="17"/>
        <v>0</v>
      </c>
      <c r="AH29" s="28">
        <f t="shared" si="18"/>
        <v>0</v>
      </c>
      <c r="AJ29" s="12"/>
    </row>
    <row r="30" spans="1:36" ht="16.95" customHeight="1" x14ac:dyDescent="0.3">
      <c r="A30" s="90" t="s">
        <v>15</v>
      </c>
      <c r="B30" s="32">
        <v>1018499</v>
      </c>
      <c r="C30" s="83" t="s">
        <v>248</v>
      </c>
      <c r="D30" s="93" t="str">
        <f t="shared" si="0"/>
        <v/>
      </c>
      <c r="E30" s="22">
        <v>1440</v>
      </c>
      <c r="F30" s="22"/>
      <c r="G30" s="24">
        <v>45149</v>
      </c>
      <c r="H30" s="23">
        <v>47107</v>
      </c>
      <c r="I30" s="46">
        <v>0.3</v>
      </c>
      <c r="J30" s="46" t="s">
        <v>206</v>
      </c>
      <c r="K30" s="46" t="s">
        <v>192</v>
      </c>
      <c r="L30" s="25"/>
      <c r="M30" s="25"/>
      <c r="N30" s="25"/>
      <c r="O30" s="25"/>
      <c r="P30" s="25"/>
      <c r="Q30" s="25"/>
      <c r="R30" s="25"/>
      <c r="S30" s="27">
        <f t="shared" si="1"/>
        <v>1440</v>
      </c>
      <c r="T30" s="28"/>
      <c r="U30" s="28"/>
      <c r="V30" s="28"/>
      <c r="W30" s="8"/>
      <c r="X30" s="28"/>
      <c r="Y30" s="28"/>
      <c r="Z30" s="28"/>
      <c r="AA30" s="28">
        <f t="shared" si="19"/>
        <v>1440</v>
      </c>
      <c r="AB30" s="28">
        <f t="shared" si="12"/>
        <v>1440</v>
      </c>
      <c r="AC30" s="28">
        <f t="shared" si="13"/>
        <v>0</v>
      </c>
      <c r="AD30" s="28">
        <f t="shared" si="14"/>
        <v>0</v>
      </c>
      <c r="AE30" s="28">
        <f t="shared" si="15"/>
        <v>0</v>
      </c>
      <c r="AF30" s="28">
        <f t="shared" si="16"/>
        <v>0</v>
      </c>
      <c r="AG30" s="28">
        <f t="shared" si="17"/>
        <v>1440</v>
      </c>
      <c r="AH30" s="28">
        <f t="shared" si="18"/>
        <v>0</v>
      </c>
      <c r="AJ30" s="12"/>
    </row>
    <row r="31" spans="1:36" ht="16.95" customHeight="1" x14ac:dyDescent="0.3">
      <c r="A31" s="90" t="s">
        <v>15</v>
      </c>
      <c r="B31" s="32">
        <v>1018499</v>
      </c>
      <c r="C31" s="83" t="s">
        <v>267</v>
      </c>
      <c r="D31" s="93" t="str">
        <f t="shared" si="0"/>
        <v/>
      </c>
      <c r="E31" s="22">
        <v>2190</v>
      </c>
      <c r="F31" s="22"/>
      <c r="G31" s="24">
        <v>45240</v>
      </c>
      <c r="H31" s="23">
        <v>46402</v>
      </c>
      <c r="I31" s="46">
        <v>0.3</v>
      </c>
      <c r="J31" s="46" t="s">
        <v>206</v>
      </c>
      <c r="K31" s="46" t="s">
        <v>268</v>
      </c>
      <c r="L31" s="25"/>
      <c r="M31" s="25"/>
      <c r="N31" s="25"/>
      <c r="O31" s="25"/>
      <c r="P31" s="25"/>
      <c r="Q31" s="25"/>
      <c r="R31" s="25"/>
      <c r="S31" s="27">
        <f t="shared" si="1"/>
        <v>2190</v>
      </c>
      <c r="T31" s="28"/>
      <c r="U31" s="28"/>
      <c r="V31" s="28"/>
      <c r="W31" s="8"/>
      <c r="X31" s="28"/>
      <c r="Y31" s="28"/>
      <c r="Z31" s="28"/>
      <c r="AA31" s="28">
        <f t="shared" si="19"/>
        <v>2190</v>
      </c>
      <c r="AB31" s="28">
        <f t="shared" si="12"/>
        <v>2190</v>
      </c>
      <c r="AC31" s="28">
        <f t="shared" si="13"/>
        <v>0</v>
      </c>
      <c r="AD31" s="28">
        <f t="shared" si="14"/>
        <v>0</v>
      </c>
      <c r="AE31" s="28">
        <f t="shared" si="15"/>
        <v>2190</v>
      </c>
      <c r="AF31" s="28">
        <f t="shared" si="16"/>
        <v>0</v>
      </c>
      <c r="AG31" s="28">
        <f t="shared" si="17"/>
        <v>0</v>
      </c>
      <c r="AH31" s="28">
        <f t="shared" si="18"/>
        <v>0</v>
      </c>
      <c r="AJ31" s="12"/>
    </row>
    <row r="32" spans="1:36" ht="16.95" customHeight="1" x14ac:dyDescent="0.3">
      <c r="A32" s="161" t="s">
        <v>15</v>
      </c>
      <c r="B32" s="162">
        <v>1018499</v>
      </c>
      <c r="C32" s="157" t="s">
        <v>298</v>
      </c>
      <c r="D32" s="158" t="str">
        <f t="shared" si="0"/>
        <v>zwrócone</v>
      </c>
      <c r="E32" s="159">
        <f>5320+944.16</f>
        <v>6264.16</v>
      </c>
      <c r="F32" s="159"/>
      <c r="G32" s="160" t="s">
        <v>311</v>
      </c>
      <c r="H32" s="84">
        <v>45663</v>
      </c>
      <c r="I32" s="46">
        <v>0.7</v>
      </c>
      <c r="J32" s="46" t="s">
        <v>206</v>
      </c>
      <c r="K32" s="46" t="s">
        <v>192</v>
      </c>
      <c r="L32" s="25"/>
      <c r="M32" s="25"/>
      <c r="N32" s="25"/>
      <c r="O32" s="25"/>
      <c r="P32" s="25"/>
      <c r="Q32" s="25"/>
      <c r="R32" s="25"/>
      <c r="S32" s="27">
        <f t="shared" si="1"/>
        <v>6264.16</v>
      </c>
      <c r="T32" s="28"/>
      <c r="U32" s="28"/>
      <c r="V32" s="28"/>
      <c r="W32" s="37">
        <v>45720</v>
      </c>
      <c r="X32" s="28"/>
      <c r="Y32" s="28"/>
      <c r="Z32" s="28">
        <v>6264.16</v>
      </c>
      <c r="AA32" s="28">
        <f t="shared" si="19"/>
        <v>0</v>
      </c>
      <c r="AB32" s="28">
        <f t="shared" si="12"/>
        <v>0</v>
      </c>
      <c r="AC32" s="28">
        <f t="shared" si="13"/>
        <v>0</v>
      </c>
      <c r="AD32" s="28">
        <f t="shared" si="14"/>
        <v>0</v>
      </c>
      <c r="AE32" s="28">
        <f t="shared" si="15"/>
        <v>0</v>
      </c>
      <c r="AF32" s="28">
        <f t="shared" si="16"/>
        <v>0</v>
      </c>
      <c r="AG32" s="28">
        <f t="shared" si="17"/>
        <v>0</v>
      </c>
      <c r="AH32" s="28">
        <f t="shared" si="18"/>
        <v>0</v>
      </c>
      <c r="AJ32" s="12"/>
    </row>
    <row r="33" spans="1:36" ht="16.95" customHeight="1" x14ac:dyDescent="0.3">
      <c r="A33" s="90" t="s">
        <v>15</v>
      </c>
      <c r="B33" s="32">
        <v>1018499</v>
      </c>
      <c r="C33" s="83" t="s">
        <v>298</v>
      </c>
      <c r="D33" s="93" t="str">
        <f t="shared" si="0"/>
        <v/>
      </c>
      <c r="E33" s="22">
        <f>2280+404.64</f>
        <v>2684.64</v>
      </c>
      <c r="F33" s="22"/>
      <c r="G33" s="24" t="s">
        <v>311</v>
      </c>
      <c r="H33" s="23">
        <v>46393</v>
      </c>
      <c r="I33" s="46">
        <v>0.3</v>
      </c>
      <c r="J33" s="46" t="s">
        <v>206</v>
      </c>
      <c r="K33" s="46" t="s">
        <v>192</v>
      </c>
      <c r="L33" s="25"/>
      <c r="M33" s="25"/>
      <c r="N33" s="25"/>
      <c r="O33" s="25"/>
      <c r="P33" s="25"/>
      <c r="Q33" s="25"/>
      <c r="R33" s="25"/>
      <c r="S33" s="27">
        <f t="shared" si="1"/>
        <v>2684.64</v>
      </c>
      <c r="T33" s="28"/>
      <c r="U33" s="28"/>
      <c r="V33" s="28"/>
      <c r="W33" s="8"/>
      <c r="X33" s="28"/>
      <c r="Y33" s="28"/>
      <c r="Z33" s="28"/>
      <c r="AA33" s="28">
        <f t="shared" si="19"/>
        <v>2684.64</v>
      </c>
      <c r="AB33" s="28">
        <f t="shared" si="12"/>
        <v>2684.64</v>
      </c>
      <c r="AC33" s="28">
        <f t="shared" si="13"/>
        <v>0</v>
      </c>
      <c r="AD33" s="28">
        <f t="shared" si="14"/>
        <v>0</v>
      </c>
      <c r="AE33" s="28">
        <f t="shared" si="15"/>
        <v>2684.64</v>
      </c>
      <c r="AF33" s="28">
        <f t="shared" si="16"/>
        <v>0</v>
      </c>
      <c r="AG33" s="28">
        <f t="shared" si="17"/>
        <v>0</v>
      </c>
      <c r="AH33" s="28">
        <f t="shared" si="18"/>
        <v>0</v>
      </c>
      <c r="AJ33" s="12"/>
    </row>
    <row r="34" spans="1:36" ht="16.95" customHeight="1" x14ac:dyDescent="0.3">
      <c r="A34" s="90" t="s">
        <v>15</v>
      </c>
      <c r="B34" s="32">
        <v>1018499</v>
      </c>
      <c r="C34" s="83" t="s">
        <v>237</v>
      </c>
      <c r="D34" s="93" t="str">
        <f t="shared" si="0"/>
        <v/>
      </c>
      <c r="E34" s="22">
        <v>1260</v>
      </c>
      <c r="F34" s="22"/>
      <c r="G34" s="24">
        <v>45111</v>
      </c>
      <c r="H34" s="23">
        <v>46011</v>
      </c>
      <c r="I34" s="46">
        <v>0.3</v>
      </c>
      <c r="J34" s="46" t="s">
        <v>206</v>
      </c>
      <c r="K34" s="46" t="s">
        <v>192</v>
      </c>
      <c r="L34" s="25"/>
      <c r="M34" s="25"/>
      <c r="N34" s="25"/>
      <c r="O34" s="25"/>
      <c r="P34" s="25"/>
      <c r="Q34" s="25"/>
      <c r="R34" s="25"/>
      <c r="S34" s="27">
        <f t="shared" si="1"/>
        <v>1260</v>
      </c>
      <c r="T34" s="28"/>
      <c r="U34" s="28"/>
      <c r="V34" s="28"/>
      <c r="W34" s="8"/>
      <c r="X34" s="28"/>
      <c r="Y34" s="28"/>
      <c r="Z34" s="28"/>
      <c r="AA34" s="28">
        <f t="shared" si="19"/>
        <v>1260</v>
      </c>
      <c r="AB34" s="28">
        <f t="shared" si="12"/>
        <v>0</v>
      </c>
      <c r="AC34" s="28">
        <f t="shared" si="13"/>
        <v>1260</v>
      </c>
      <c r="AD34" s="28">
        <f t="shared" si="14"/>
        <v>0</v>
      </c>
      <c r="AE34" s="28">
        <f t="shared" si="15"/>
        <v>0</v>
      </c>
      <c r="AF34" s="28">
        <f t="shared" si="16"/>
        <v>0</v>
      </c>
      <c r="AG34" s="28">
        <f t="shared" si="17"/>
        <v>0</v>
      </c>
      <c r="AH34" s="28">
        <f t="shared" si="18"/>
        <v>0</v>
      </c>
      <c r="AJ34" s="12"/>
    </row>
    <row r="35" spans="1:36" ht="16.95" customHeight="1" x14ac:dyDescent="0.3">
      <c r="A35" s="161" t="s">
        <v>15</v>
      </c>
      <c r="B35" s="162">
        <v>1018499</v>
      </c>
      <c r="C35" s="157" t="s">
        <v>327</v>
      </c>
      <c r="D35" s="158" t="str">
        <f>IF(W35&gt;0,"zwrócone","")</f>
        <v>zwrócone</v>
      </c>
      <c r="E35" s="159">
        <v>7000</v>
      </c>
      <c r="F35" s="159"/>
      <c r="G35" s="160">
        <v>45538</v>
      </c>
      <c r="H35" s="84">
        <v>45795</v>
      </c>
      <c r="I35" s="46">
        <v>0.7</v>
      </c>
      <c r="J35" s="46" t="s">
        <v>206</v>
      </c>
      <c r="K35" s="46" t="s">
        <v>192</v>
      </c>
      <c r="L35" s="25"/>
      <c r="M35" s="25"/>
      <c r="N35" s="25"/>
      <c r="O35" s="25"/>
      <c r="P35" s="25"/>
      <c r="Q35" s="25"/>
      <c r="R35" s="25"/>
      <c r="S35" s="27">
        <f t="shared" si="1"/>
        <v>7000</v>
      </c>
      <c r="T35" s="28"/>
      <c r="U35" s="28"/>
      <c r="V35" s="28"/>
      <c r="W35" s="37">
        <v>45806</v>
      </c>
      <c r="X35" s="28"/>
      <c r="Y35" s="28"/>
      <c r="Z35" s="28">
        <v>7000</v>
      </c>
      <c r="AA35" s="28">
        <f>S35-Z35-Y35-X35</f>
        <v>0</v>
      </c>
      <c r="AB35" s="28">
        <f t="shared" si="12"/>
        <v>0</v>
      </c>
      <c r="AC35" s="28">
        <f t="shared" si="13"/>
        <v>0</v>
      </c>
      <c r="AD35" s="28">
        <f t="shared" si="14"/>
        <v>0</v>
      </c>
      <c r="AE35" s="28">
        <f t="shared" si="15"/>
        <v>0</v>
      </c>
      <c r="AF35" s="28">
        <f t="shared" si="16"/>
        <v>0</v>
      </c>
      <c r="AG35" s="28">
        <f t="shared" si="17"/>
        <v>0</v>
      </c>
      <c r="AH35" s="28">
        <f t="shared" si="18"/>
        <v>0</v>
      </c>
      <c r="AJ35" s="12"/>
    </row>
    <row r="36" spans="1:36" ht="16.95" customHeight="1" x14ac:dyDescent="0.3">
      <c r="A36" s="90" t="s">
        <v>15</v>
      </c>
      <c r="B36" s="32">
        <v>1018499</v>
      </c>
      <c r="C36" s="83" t="s">
        <v>327</v>
      </c>
      <c r="D36" s="93" t="str">
        <f>IF(W36&gt;0,"zwrócone","")</f>
        <v/>
      </c>
      <c r="E36" s="22">
        <v>3000</v>
      </c>
      <c r="F36" s="22"/>
      <c r="G36" s="24">
        <v>45538</v>
      </c>
      <c r="H36" s="23">
        <v>46509</v>
      </c>
      <c r="I36" s="46">
        <v>0.3</v>
      </c>
      <c r="J36" s="46" t="s">
        <v>206</v>
      </c>
      <c r="K36" s="46" t="s">
        <v>192</v>
      </c>
      <c r="L36" s="25"/>
      <c r="M36" s="25"/>
      <c r="N36" s="25"/>
      <c r="O36" s="25"/>
      <c r="P36" s="25"/>
      <c r="Q36" s="25"/>
      <c r="R36" s="25"/>
      <c r="S36" s="27">
        <f t="shared" si="1"/>
        <v>3000</v>
      </c>
      <c r="T36" s="28"/>
      <c r="U36" s="28"/>
      <c r="V36" s="28"/>
      <c r="W36" s="8"/>
      <c r="X36" s="28"/>
      <c r="Y36" s="28"/>
      <c r="Z36" s="28"/>
      <c r="AA36" s="28">
        <f>S36-Z36-Y36-X36</f>
        <v>3000</v>
      </c>
      <c r="AB36" s="28">
        <f t="shared" si="12"/>
        <v>3000</v>
      </c>
      <c r="AC36" s="28">
        <f t="shared" si="13"/>
        <v>0</v>
      </c>
      <c r="AD36" s="28">
        <f t="shared" si="14"/>
        <v>0</v>
      </c>
      <c r="AE36" s="28">
        <f t="shared" si="15"/>
        <v>3000</v>
      </c>
      <c r="AF36" s="28">
        <f t="shared" si="16"/>
        <v>0</v>
      </c>
      <c r="AG36" s="28">
        <f t="shared" si="17"/>
        <v>0</v>
      </c>
      <c r="AH36" s="28">
        <f t="shared" si="18"/>
        <v>0</v>
      </c>
      <c r="AJ36" s="12"/>
    </row>
    <row r="37" spans="1:36" ht="16.95" customHeight="1" x14ac:dyDescent="0.3">
      <c r="A37" s="90" t="s">
        <v>15</v>
      </c>
      <c r="B37" s="32">
        <v>1018499</v>
      </c>
      <c r="C37" s="83" t="s">
        <v>328</v>
      </c>
      <c r="D37" s="93" t="str">
        <f>IF(W37&gt;0,"zwrócone","")</f>
        <v/>
      </c>
      <c r="E37" s="22">
        <v>3709.44</v>
      </c>
      <c r="F37" s="22"/>
      <c r="G37" s="24">
        <v>45546</v>
      </c>
      <c r="H37" s="23">
        <v>46053</v>
      </c>
      <c r="I37" s="46">
        <v>0.7</v>
      </c>
      <c r="J37" s="46" t="s">
        <v>206</v>
      </c>
      <c r="K37" s="46" t="s">
        <v>192</v>
      </c>
      <c r="L37" s="25"/>
      <c r="M37" s="25"/>
      <c r="N37" s="25"/>
      <c r="O37" s="25"/>
      <c r="P37" s="25"/>
      <c r="Q37" s="25"/>
      <c r="R37" s="25"/>
      <c r="S37" s="27">
        <f t="shared" si="1"/>
        <v>3709.44</v>
      </c>
      <c r="T37" s="28"/>
      <c r="U37" s="28"/>
      <c r="V37" s="28"/>
      <c r="W37" s="8"/>
      <c r="X37" s="28"/>
      <c r="Y37" s="28"/>
      <c r="Z37" s="28"/>
      <c r="AA37" s="28">
        <f>S37-Z37-Y37-X37</f>
        <v>3709.44</v>
      </c>
      <c r="AB37" s="28">
        <f>IF(H37-$AB$1&gt;365,AA37,0)</f>
        <v>0</v>
      </c>
      <c r="AC37" s="28">
        <f>IF(H37-$AB$1&lt;=365,AA37,0)</f>
        <v>3709.44</v>
      </c>
      <c r="AD37" s="28">
        <f>IF(H37="",AA37,0)</f>
        <v>0</v>
      </c>
      <c r="AE37" s="28">
        <f>IF(AND(H37-$AB$1&gt;365,H37-$AB$1&lt;=730),AB37,0)</f>
        <v>0</v>
      </c>
      <c r="AF37" s="28">
        <f>IF(AND(H37-$AB$1&gt;730,H37-$AB$1&lt;=1095),AB37,0)</f>
        <v>0</v>
      </c>
      <c r="AG37" s="28">
        <f>IF(AND(H37-$AB$1&gt;1095,H37-$AB$1&lt;=1825),AB37,0)</f>
        <v>0</v>
      </c>
      <c r="AH37" s="28">
        <f>IF(H37-$AB$1&gt;1825,AB37,0)</f>
        <v>0</v>
      </c>
      <c r="AJ37" s="12"/>
    </row>
    <row r="38" spans="1:36" ht="16.95" customHeight="1" x14ac:dyDescent="0.3">
      <c r="A38" s="90" t="s">
        <v>15</v>
      </c>
      <c r="B38" s="32">
        <v>1018499</v>
      </c>
      <c r="C38" s="83" t="s">
        <v>328</v>
      </c>
      <c r="D38" s="93" t="str">
        <f>IF(W38&gt;0,"zwrócone","")</f>
        <v/>
      </c>
      <c r="E38" s="22">
        <v>1589.76</v>
      </c>
      <c r="F38" s="22"/>
      <c r="G38" s="24">
        <v>45546</v>
      </c>
      <c r="H38" s="23">
        <v>46218</v>
      </c>
      <c r="I38" s="46">
        <v>0.3</v>
      </c>
      <c r="J38" s="46" t="s">
        <v>206</v>
      </c>
      <c r="K38" s="46" t="s">
        <v>192</v>
      </c>
      <c r="L38" s="25"/>
      <c r="M38" s="25"/>
      <c r="N38" s="25"/>
      <c r="O38" s="25"/>
      <c r="P38" s="25"/>
      <c r="Q38" s="25"/>
      <c r="R38" s="25"/>
      <c r="S38" s="27">
        <f t="shared" si="1"/>
        <v>1589.76</v>
      </c>
      <c r="T38" s="28"/>
      <c r="U38" s="28"/>
      <c r="V38" s="28"/>
      <c r="W38" s="8"/>
      <c r="X38" s="28"/>
      <c r="Y38" s="28"/>
      <c r="Z38" s="28"/>
      <c r="AA38" s="28">
        <f>S38-Z38-Y38-X38</f>
        <v>1589.76</v>
      </c>
      <c r="AB38" s="28">
        <f>IF(H38-$AB$1&gt;365,AA38,0)</f>
        <v>0</v>
      </c>
      <c r="AC38" s="28">
        <f>IF(H38-$AB$1&lt;=365,AA38,0)</f>
        <v>1589.76</v>
      </c>
      <c r="AD38" s="28">
        <f>IF(H38="",AA38,0)</f>
        <v>0</v>
      </c>
      <c r="AE38" s="28">
        <f>IF(AND(H38-$AB$1&gt;365,H38-$AB$1&lt;=730),AB38,0)</f>
        <v>0</v>
      </c>
      <c r="AF38" s="28">
        <f>IF(AND(H38-$AB$1&gt;730,H38-$AB$1&lt;=1095),AB38,0)</f>
        <v>0</v>
      </c>
      <c r="AG38" s="28">
        <f>IF(AND(H38-$AB$1&gt;1095,H38-$AB$1&lt;=1825),AB38,0)</f>
        <v>0</v>
      </c>
      <c r="AH38" s="28">
        <f>IF(H38-$AB$1&gt;1825,AB38,0)</f>
        <v>0</v>
      </c>
      <c r="AJ38" s="12"/>
    </row>
    <row r="39" spans="1:36" ht="16.95" customHeight="1" x14ac:dyDescent="0.3">
      <c r="A39" s="130"/>
      <c r="B39" s="131"/>
      <c r="C39" s="117"/>
      <c r="D39" s="118" t="str">
        <f t="shared" ref="D39:D65" si="20">IF(W39&gt;0,"zwrócone","")</f>
        <v/>
      </c>
      <c r="E39" s="31">
        <f>SUBTOTAL(9,E22:E36)</f>
        <v>46518.8</v>
      </c>
      <c r="F39" s="31"/>
      <c r="G39" s="132"/>
      <c r="H39" s="120"/>
      <c r="I39" s="115"/>
      <c r="J39" s="115"/>
      <c r="K39" s="115"/>
      <c r="L39" s="31">
        <f t="shared" ref="L39:Q39" si="21">SUBTOTAL(9,L22:L38)</f>
        <v>0</v>
      </c>
      <c r="M39" s="31">
        <f t="shared" si="21"/>
        <v>9</v>
      </c>
      <c r="N39" s="31">
        <f t="shared" si="21"/>
        <v>2.09</v>
      </c>
      <c r="O39" s="31">
        <f t="shared" si="21"/>
        <v>393.77</v>
      </c>
      <c r="P39" s="31">
        <f t="shared" si="21"/>
        <v>470.59000000000003</v>
      </c>
      <c r="Q39" s="31">
        <f t="shared" si="21"/>
        <v>415.78000000000003</v>
      </c>
      <c r="R39" s="31"/>
      <c r="S39" s="31">
        <f t="shared" si="1"/>
        <v>47810.029999999992</v>
      </c>
      <c r="T39" s="31">
        <f>SUBTOTAL(9,T22:T36)</f>
        <v>0</v>
      </c>
      <c r="U39" s="31">
        <f>SUBTOTAL(9,U22:U36)</f>
        <v>6503.37</v>
      </c>
      <c r="V39" s="31">
        <f>SUBTOTAL(9,V22:V36)</f>
        <v>0</v>
      </c>
      <c r="W39" s="31"/>
      <c r="X39" s="31">
        <f>SUBTOTAL(9,X22:X22)</f>
        <v>0</v>
      </c>
      <c r="Y39" s="31">
        <f>SUBTOTAL(9,Y22:Y22)</f>
        <v>0</v>
      </c>
      <c r="Z39" s="31">
        <f>SUBTOTAL(9,Z22:Z22)</f>
        <v>0</v>
      </c>
      <c r="AA39" s="31">
        <f t="shared" ref="AA39:AH39" si="22">SUBTOTAL(9,AA22:AA38)</f>
        <v>37227.21</v>
      </c>
      <c r="AB39" s="31">
        <f t="shared" si="22"/>
        <v>9314.64</v>
      </c>
      <c r="AC39" s="31">
        <f t="shared" si="22"/>
        <v>27912.569999999996</v>
      </c>
      <c r="AD39" s="31">
        <f t="shared" si="22"/>
        <v>0</v>
      </c>
      <c r="AE39" s="31">
        <f t="shared" si="22"/>
        <v>7874.6399999999994</v>
      </c>
      <c r="AF39" s="31">
        <f t="shared" si="22"/>
        <v>0</v>
      </c>
      <c r="AG39" s="31">
        <f t="shared" si="22"/>
        <v>1440</v>
      </c>
      <c r="AH39" s="31">
        <f t="shared" si="22"/>
        <v>0</v>
      </c>
      <c r="AJ39" s="12"/>
    </row>
    <row r="40" spans="1:36" ht="16.95" customHeight="1" x14ac:dyDescent="0.3">
      <c r="A40" s="161" t="s">
        <v>314</v>
      </c>
      <c r="B40" s="162">
        <v>1018721</v>
      </c>
      <c r="C40" s="157" t="s">
        <v>17</v>
      </c>
      <c r="D40" s="158" t="str">
        <f t="shared" si="20"/>
        <v>zwrócone</v>
      </c>
      <c r="E40" s="159">
        <f>ROUND((133560+5400+33007.73)*30%,2)</f>
        <v>51590.32</v>
      </c>
      <c r="F40" s="159"/>
      <c r="G40" s="160">
        <v>43579</v>
      </c>
      <c r="H40" s="84">
        <v>45813</v>
      </c>
      <c r="I40" s="46">
        <v>0.3</v>
      </c>
      <c r="J40" s="46" t="s">
        <v>257</v>
      </c>
      <c r="K40" s="6" t="s">
        <v>218</v>
      </c>
      <c r="L40" s="25">
        <v>258.54000000000087</v>
      </c>
      <c r="M40" s="25">
        <v>141.47999999999999</v>
      </c>
      <c r="N40" s="25">
        <v>19.29</v>
      </c>
      <c r="O40" s="25">
        <v>2594.46</v>
      </c>
      <c r="P40" s="25">
        <f>ROUND(((E40*6.01%)/365)*365,2)</f>
        <v>3100.58</v>
      </c>
      <c r="Q40" s="25">
        <f>ROUND((E40*5.31%),2)</f>
        <v>2739.45</v>
      </c>
      <c r="R40" s="25">
        <f>ROUND(((E40*5.31%)/365)*161,2)</f>
        <v>1208.3599999999999</v>
      </c>
      <c r="S40" s="27">
        <f t="shared" si="1"/>
        <v>61652.480000000003</v>
      </c>
      <c r="T40" s="28">
        <f>IF(H40-$T$1&gt;365,S40,0)</f>
        <v>0</v>
      </c>
      <c r="U40" s="28">
        <f>IF(H40-$T$1&lt;365,S40,0)</f>
        <v>61652.480000000003</v>
      </c>
      <c r="V40" s="28">
        <f>IF(H40="",S40,0)</f>
        <v>0</v>
      </c>
      <c r="W40" s="37">
        <v>45819</v>
      </c>
      <c r="X40" s="28">
        <v>8853.7999999999993</v>
      </c>
      <c r="Y40" s="28">
        <v>1208.3599999999999</v>
      </c>
      <c r="Z40" s="28">
        <v>51590.32</v>
      </c>
      <c r="AA40" s="28">
        <f>S40-Z40-Y40-X40</f>
        <v>0</v>
      </c>
      <c r="AB40" s="28">
        <f>IF(H40-$AB$1&gt;365,AA40,0)</f>
        <v>0</v>
      </c>
      <c r="AC40" s="28">
        <f>IF(H40-$AB$1&lt;=365,AA40,0)</f>
        <v>0</v>
      </c>
      <c r="AD40" s="28">
        <f>IF(H40="",AA40,0)</f>
        <v>0</v>
      </c>
      <c r="AE40" s="28">
        <f>IF(AND(H40-$AB$1&gt;365,H40-$AB$1&lt;=730),AB40,0)</f>
        <v>0</v>
      </c>
      <c r="AF40" s="28">
        <f>IF(AND(H40-$AB$1&gt;730,H40-$AB$1&lt;=1095),AB40,0)</f>
        <v>0</v>
      </c>
      <c r="AG40" s="28">
        <f>IF(AND(H40-$AB$1&gt;1095,H40-$AB$1&lt;=1825),AB40,0)</f>
        <v>0</v>
      </c>
      <c r="AH40" s="28">
        <f>IF(H40-$AB$1&gt;1825,AB40,0)</f>
        <v>0</v>
      </c>
    </row>
    <row r="41" spans="1:36" ht="16.95" customHeight="1" x14ac:dyDescent="0.3">
      <c r="A41" s="90" t="s">
        <v>314</v>
      </c>
      <c r="B41" s="32">
        <v>1018721</v>
      </c>
      <c r="C41" s="83" t="s">
        <v>142</v>
      </c>
      <c r="D41" s="93" t="str">
        <f t="shared" si="20"/>
        <v/>
      </c>
      <c r="E41" s="22">
        <v>55853.440000000002</v>
      </c>
      <c r="F41" s="22"/>
      <c r="G41" s="24">
        <v>44671</v>
      </c>
      <c r="H41" s="23">
        <v>46188</v>
      </c>
      <c r="I41" s="46">
        <v>0.3</v>
      </c>
      <c r="J41" s="46" t="s">
        <v>257</v>
      </c>
      <c r="K41" s="6" t="s">
        <v>194</v>
      </c>
      <c r="L41" s="25"/>
      <c r="M41" s="25"/>
      <c r="N41" s="25"/>
      <c r="O41" s="25">
        <v>2306.13</v>
      </c>
      <c r="P41" s="25">
        <f>ROUND(((E41*6.01%)/365)*365,2)</f>
        <v>3356.79</v>
      </c>
      <c r="Q41" s="25">
        <f>ROUND((E41*5.31%),2)</f>
        <v>2965.82</v>
      </c>
      <c r="R41" s="25"/>
      <c r="S41" s="27">
        <f t="shared" si="1"/>
        <v>64482.18</v>
      </c>
      <c r="T41" s="28"/>
      <c r="U41" s="28"/>
      <c r="V41" s="28"/>
      <c r="W41" s="8"/>
      <c r="X41" s="28"/>
      <c r="Y41" s="28"/>
      <c r="Z41" s="28"/>
      <c r="AA41" s="28">
        <f>S41-Z41-Y41-X41</f>
        <v>64482.18</v>
      </c>
      <c r="AB41" s="28">
        <f>IF(H41-$AB$1&gt;365,AA41,0)</f>
        <v>0</v>
      </c>
      <c r="AC41" s="28">
        <f>IF(H41-$AB$1&lt;=365,AA41,0)</f>
        <v>64482.18</v>
      </c>
      <c r="AD41" s="28">
        <f>IF(H41="",AA41,0)</f>
        <v>0</v>
      </c>
      <c r="AE41" s="28">
        <f>IF(AND(H41-$AB$1&gt;365,H41-$AB$1&lt;=730),AB41,0)</f>
        <v>0</v>
      </c>
      <c r="AF41" s="28">
        <f>IF(AND(H41-$AB$1&gt;730,H41-$AB$1&lt;=1095),AB41,0)</f>
        <v>0</v>
      </c>
      <c r="AG41" s="28">
        <f>IF(AND(H41-$AB$1&gt;1095,H41-$AB$1&lt;=1825),AB41,0)</f>
        <v>0</v>
      </c>
      <c r="AH41" s="28">
        <f>IF(H41-$AB$1&gt;1825,AB41,0)</f>
        <v>0</v>
      </c>
    </row>
    <row r="42" spans="1:36" ht="16.95" customHeight="1" x14ac:dyDescent="0.3">
      <c r="A42" s="161" t="s">
        <v>303</v>
      </c>
      <c r="B42" s="162">
        <v>1018721</v>
      </c>
      <c r="C42" s="157" t="s">
        <v>304</v>
      </c>
      <c r="D42" s="158" t="str">
        <f t="shared" si="20"/>
        <v>zwrócone</v>
      </c>
      <c r="E42" s="159">
        <f>6180+74.24</f>
        <v>6254.24</v>
      </c>
      <c r="F42" s="159"/>
      <c r="G42" s="160" t="s">
        <v>310</v>
      </c>
      <c r="H42" s="84">
        <v>45868</v>
      </c>
      <c r="I42" s="46">
        <v>0.3</v>
      </c>
      <c r="J42" s="46" t="s">
        <v>206</v>
      </c>
      <c r="K42" s="6" t="s">
        <v>204</v>
      </c>
      <c r="L42" s="25"/>
      <c r="M42" s="25"/>
      <c r="N42" s="25"/>
      <c r="O42" s="25"/>
      <c r="P42" s="25"/>
      <c r="Q42" s="25"/>
      <c r="R42" s="25"/>
      <c r="S42" s="27">
        <f t="shared" si="1"/>
        <v>6254.24</v>
      </c>
      <c r="T42" s="28"/>
      <c r="U42" s="28"/>
      <c r="V42" s="28"/>
      <c r="W42" s="37">
        <v>45868</v>
      </c>
      <c r="X42" s="28"/>
      <c r="Y42" s="28"/>
      <c r="Z42" s="28">
        <v>6254.24</v>
      </c>
      <c r="AA42" s="28">
        <f>S42-Z42-Y42-X42</f>
        <v>0</v>
      </c>
      <c r="AB42" s="28">
        <f>IF(H42-$AB$1&gt;365,AA42,0)</f>
        <v>0</v>
      </c>
      <c r="AC42" s="28">
        <f>IF(H42-$AB$1&lt;=365,AA42,0)</f>
        <v>0</v>
      </c>
      <c r="AD42" s="28">
        <f>IF(H42="",AA42,0)</f>
        <v>0</v>
      </c>
      <c r="AE42" s="28">
        <f>IF(AND(H42-$AB$1&gt;365,H42-$AB$1&lt;=730),AB42,0)</f>
        <v>0</v>
      </c>
      <c r="AF42" s="28">
        <f>IF(AND(H42-$AB$1&gt;730,H42-$AB$1&lt;=1095),AB42,0)</f>
        <v>0</v>
      </c>
      <c r="AG42" s="28">
        <f>IF(AND(H42-$AB$1&gt;1095,H42-$AB$1&lt;=1825),AB42,0)</f>
        <v>0</v>
      </c>
      <c r="AH42" s="28">
        <f>IF(H42-$AB$1&gt;1825,AB42,0)</f>
        <v>0</v>
      </c>
      <c r="AJ42" s="12"/>
    </row>
    <row r="43" spans="1:36" ht="16.95" customHeight="1" x14ac:dyDescent="0.3">
      <c r="A43" s="90" t="s">
        <v>314</v>
      </c>
      <c r="B43" s="32">
        <v>1018721</v>
      </c>
      <c r="C43" s="83" t="s">
        <v>115</v>
      </c>
      <c r="D43" s="93" t="str">
        <f t="shared" si="20"/>
        <v/>
      </c>
      <c r="E43" s="22">
        <f>8993.4+1154.37</f>
        <v>10147.77</v>
      </c>
      <c r="F43" s="22"/>
      <c r="G43" s="24" t="s">
        <v>134</v>
      </c>
      <c r="H43" s="23">
        <v>46218</v>
      </c>
      <c r="I43" s="46">
        <v>0.3</v>
      </c>
      <c r="J43" s="46" t="s">
        <v>257</v>
      </c>
      <c r="K43" s="6" t="s">
        <v>194</v>
      </c>
      <c r="L43" s="25">
        <v>0</v>
      </c>
      <c r="M43" s="25"/>
      <c r="N43" s="25"/>
      <c r="O43" s="53">
        <v>509.84999999999997</v>
      </c>
      <c r="P43" s="25">
        <f>ROUND(((E43*6.01%)/365)*365,2)</f>
        <v>609.88</v>
      </c>
      <c r="Q43" s="25">
        <f>ROUND((E43*5.31%),2)</f>
        <v>538.85</v>
      </c>
      <c r="R43" s="25"/>
      <c r="S43" s="27">
        <f t="shared" si="1"/>
        <v>11806.35</v>
      </c>
      <c r="T43" s="28"/>
      <c r="U43" s="28"/>
      <c r="V43" s="28"/>
      <c r="W43" s="8"/>
      <c r="X43" s="28"/>
      <c r="Y43" s="28"/>
      <c r="Z43" s="28"/>
      <c r="AA43" s="28">
        <f>S43-Z43-Y43-X43</f>
        <v>11806.35</v>
      </c>
      <c r="AB43" s="28">
        <f>IF(H43-$AB$1&gt;365,AA43,0)</f>
        <v>0</v>
      </c>
      <c r="AC43" s="28">
        <f>IF(H43-$AB$1&lt;=365,AA43,0)</f>
        <v>11806.35</v>
      </c>
      <c r="AD43" s="28">
        <f>IF(H43="",AA43,0)</f>
        <v>0</v>
      </c>
      <c r="AE43" s="28">
        <f>IF(AND(H43-$AB$1&gt;365,H43-$AB$1&lt;=730),AB43,0)</f>
        <v>0</v>
      </c>
      <c r="AF43" s="28">
        <f>IF(AND(H43-$AB$1&gt;730,H43-$AB$1&lt;=1095),AB43,0)</f>
        <v>0</v>
      </c>
      <c r="AG43" s="28">
        <f>IF(AND(H43-$AB$1&gt;1095,H43-$AB$1&lt;=1825),AB43,0)</f>
        <v>0</v>
      </c>
      <c r="AH43" s="28">
        <f>IF(H43-$AB$1&gt;1825,AB43,0)</f>
        <v>0</v>
      </c>
    </row>
    <row r="44" spans="1:36" ht="16.95" customHeight="1" x14ac:dyDescent="0.3">
      <c r="A44" s="130"/>
      <c r="B44" s="131"/>
      <c r="C44" s="117"/>
      <c r="D44" s="118" t="str">
        <f t="shared" si="20"/>
        <v/>
      </c>
      <c r="E44" s="31">
        <f>SUBTOTAL(9,E40:E43)</f>
        <v>123845.77000000002</v>
      </c>
      <c r="F44" s="31"/>
      <c r="G44" s="132"/>
      <c r="H44" s="120"/>
      <c r="I44" s="115"/>
      <c r="J44" s="115"/>
      <c r="K44" s="115"/>
      <c r="L44" s="31">
        <f t="shared" ref="L44:V44" si="23">SUBTOTAL(9,L40:L43)</f>
        <v>258.54000000000087</v>
      </c>
      <c r="M44" s="31">
        <f t="shared" si="23"/>
        <v>141.47999999999999</v>
      </c>
      <c r="N44" s="31">
        <f t="shared" si="23"/>
        <v>19.29</v>
      </c>
      <c r="O44" s="31">
        <f t="shared" si="23"/>
        <v>5410.4400000000005</v>
      </c>
      <c r="P44" s="31">
        <f t="shared" si="23"/>
        <v>7067.25</v>
      </c>
      <c r="Q44" s="31">
        <f t="shared" si="23"/>
        <v>6244.1200000000008</v>
      </c>
      <c r="R44" s="31"/>
      <c r="S44" s="31">
        <f t="shared" si="1"/>
        <v>142986.89000000001</v>
      </c>
      <c r="T44" s="31">
        <f t="shared" si="23"/>
        <v>0</v>
      </c>
      <c r="U44" s="31">
        <f t="shared" si="23"/>
        <v>61652.480000000003</v>
      </c>
      <c r="V44" s="31">
        <f t="shared" si="23"/>
        <v>0</v>
      </c>
      <c r="W44" s="31"/>
      <c r="X44" s="31">
        <f t="shared" ref="X44:AH44" si="24">SUBTOTAL(9,X40:X43)</f>
        <v>8853.7999999999993</v>
      </c>
      <c r="Y44" s="31">
        <f t="shared" si="24"/>
        <v>1208.3599999999999</v>
      </c>
      <c r="Z44" s="31">
        <f t="shared" si="24"/>
        <v>57844.56</v>
      </c>
      <c r="AA44" s="31">
        <f t="shared" si="24"/>
        <v>76288.53</v>
      </c>
      <c r="AB44" s="31">
        <f t="shared" si="24"/>
        <v>0</v>
      </c>
      <c r="AC44" s="31">
        <f t="shared" si="24"/>
        <v>76288.53</v>
      </c>
      <c r="AD44" s="31">
        <f t="shared" si="24"/>
        <v>0</v>
      </c>
      <c r="AE44" s="31">
        <f t="shared" si="24"/>
        <v>0</v>
      </c>
      <c r="AF44" s="31">
        <f t="shared" si="24"/>
        <v>0</v>
      </c>
      <c r="AG44" s="31">
        <f t="shared" si="24"/>
        <v>0</v>
      </c>
      <c r="AH44" s="31">
        <f t="shared" si="24"/>
        <v>0</v>
      </c>
      <c r="AJ44" s="12"/>
    </row>
    <row r="45" spans="1:36" ht="20.399999999999999" x14ac:dyDescent="0.3">
      <c r="A45" s="6" t="s">
        <v>18</v>
      </c>
      <c r="B45" s="83">
        <v>1018830</v>
      </c>
      <c r="C45" s="83" t="s">
        <v>19</v>
      </c>
      <c r="D45" s="93" t="str">
        <f t="shared" si="20"/>
        <v/>
      </c>
      <c r="E45" s="22">
        <f>ROUND(12200*30%,2)</f>
        <v>3660</v>
      </c>
      <c r="F45" s="22"/>
      <c r="G45" s="24">
        <v>44076</v>
      </c>
      <c r="H45" s="23">
        <v>46127</v>
      </c>
      <c r="I45" s="46">
        <v>0.3</v>
      </c>
      <c r="J45" s="46" t="s">
        <v>257</v>
      </c>
      <c r="K45" s="6" t="s">
        <v>194</v>
      </c>
      <c r="L45" s="25"/>
      <c r="M45" s="25"/>
      <c r="N45" s="25"/>
      <c r="O45" s="25">
        <v>184.06</v>
      </c>
      <c r="P45" s="25">
        <f>ROUND(((E45*6.01%)/365)*365,2)</f>
        <v>219.97</v>
      </c>
      <c r="Q45" s="25">
        <f>ROUND((E45*5.31%),2)</f>
        <v>194.35</v>
      </c>
      <c r="R45" s="25"/>
      <c r="S45" s="27">
        <f t="shared" si="1"/>
        <v>4258.38</v>
      </c>
      <c r="T45" s="28">
        <f>IF(H45-$T$1&gt;365,S45,0)</f>
        <v>0</v>
      </c>
      <c r="U45" s="28">
        <f>IF(H45-$T$1&lt;365,S45,0)</f>
        <v>4258.38</v>
      </c>
      <c r="V45" s="28">
        <f>IF(H45="",S45,0)</f>
        <v>0</v>
      </c>
      <c r="W45" s="8"/>
      <c r="X45" s="28"/>
      <c r="Y45" s="28"/>
      <c r="Z45" s="28"/>
      <c r="AA45" s="28">
        <f>S45-Z45-Y45-X45</f>
        <v>4258.38</v>
      </c>
      <c r="AB45" s="28">
        <f>IF(H45-$AB$1&gt;365,AA45,0)</f>
        <v>0</v>
      </c>
      <c r="AC45" s="28">
        <f>IF(H45-$AB$1&lt;=365,AA45,0)</f>
        <v>4258.38</v>
      </c>
      <c r="AD45" s="28">
        <f>IF(H45="",AA45,0)</f>
        <v>0</v>
      </c>
      <c r="AE45" s="28">
        <f>IF(AND(H45-$AB$1&gt;365,H45-$AB$1&lt;=730),AB45,0)</f>
        <v>0</v>
      </c>
      <c r="AF45" s="28">
        <f>IF(AND(H45-$AB$1&gt;730,H45-$AB$1&lt;=1095),AB45,0)</f>
        <v>0</v>
      </c>
      <c r="AG45" s="28">
        <f>IF(AND(H45-$AB$1&gt;1095,H45-$AB$1&lt;=1825),AB45,0)</f>
        <v>0</v>
      </c>
      <c r="AH45" s="28">
        <f>IF(H45-$AB$1&gt;1825,AB45,0)</f>
        <v>0</v>
      </c>
    </row>
    <row r="46" spans="1:36" ht="16.2" customHeight="1" x14ac:dyDescent="0.3">
      <c r="A46" s="115"/>
      <c r="B46" s="117"/>
      <c r="C46" s="117"/>
      <c r="D46" s="118" t="str">
        <f t="shared" si="20"/>
        <v/>
      </c>
      <c r="E46" s="31">
        <f>SUBTOTAL(9,E45:E45)</f>
        <v>3660</v>
      </c>
      <c r="F46" s="31"/>
      <c r="G46" s="132"/>
      <c r="H46" s="120"/>
      <c r="I46" s="115"/>
      <c r="J46" s="115"/>
      <c r="K46" s="115"/>
      <c r="L46" s="31">
        <f t="shared" ref="L46:Q46" si="25">SUBTOTAL(9,L45:L45)</f>
        <v>0</v>
      </c>
      <c r="M46" s="31">
        <f t="shared" si="25"/>
        <v>0</v>
      </c>
      <c r="N46" s="31">
        <f t="shared" si="25"/>
        <v>0</v>
      </c>
      <c r="O46" s="31">
        <f t="shared" si="25"/>
        <v>184.06</v>
      </c>
      <c r="P46" s="31">
        <f t="shared" si="25"/>
        <v>219.97</v>
      </c>
      <c r="Q46" s="31">
        <f t="shared" si="25"/>
        <v>194.35</v>
      </c>
      <c r="R46" s="31"/>
      <c r="S46" s="31">
        <f t="shared" si="1"/>
        <v>4258.38</v>
      </c>
      <c r="T46" s="31">
        <f>SUBTOTAL(9,T45:T45)</f>
        <v>0</v>
      </c>
      <c r="U46" s="31">
        <f>SUBTOTAL(9,U45:U45)</f>
        <v>4258.38</v>
      </c>
      <c r="V46" s="31">
        <f>SUBTOTAL(9,V45:V45)</f>
        <v>0</v>
      </c>
      <c r="W46" s="31"/>
      <c r="X46" s="31">
        <f t="shared" ref="X46:AH46" si="26">SUBTOTAL(9,X45:X45)</f>
        <v>0</v>
      </c>
      <c r="Y46" s="31">
        <f t="shared" si="26"/>
        <v>0</v>
      </c>
      <c r="Z46" s="31">
        <f t="shared" si="26"/>
        <v>0</v>
      </c>
      <c r="AA46" s="31">
        <f t="shared" si="26"/>
        <v>4258.38</v>
      </c>
      <c r="AB46" s="31">
        <f t="shared" si="26"/>
        <v>0</v>
      </c>
      <c r="AC46" s="31">
        <f t="shared" si="26"/>
        <v>4258.38</v>
      </c>
      <c r="AD46" s="31">
        <f t="shared" si="26"/>
        <v>0</v>
      </c>
      <c r="AE46" s="31">
        <f t="shared" si="26"/>
        <v>0</v>
      </c>
      <c r="AF46" s="31">
        <f t="shared" si="26"/>
        <v>0</v>
      </c>
      <c r="AG46" s="31">
        <f t="shared" si="26"/>
        <v>0</v>
      </c>
      <c r="AH46" s="31">
        <f t="shared" si="26"/>
        <v>0</v>
      </c>
      <c r="AJ46" s="12"/>
    </row>
    <row r="47" spans="1:36" ht="10.199999999999999" customHeight="1" x14ac:dyDescent="0.3">
      <c r="A47" s="85" t="s">
        <v>187</v>
      </c>
      <c r="B47" s="183">
        <v>1018955</v>
      </c>
      <c r="C47" s="157" t="s">
        <v>186</v>
      </c>
      <c r="D47" s="158" t="str">
        <f t="shared" si="20"/>
        <v>zwrócone</v>
      </c>
      <c r="E47" s="159">
        <v>1728</v>
      </c>
      <c r="F47" s="159"/>
      <c r="G47" s="160">
        <v>45015</v>
      </c>
      <c r="H47" s="84">
        <v>45731</v>
      </c>
      <c r="I47" s="46">
        <v>0.3</v>
      </c>
      <c r="J47" s="46" t="s">
        <v>206</v>
      </c>
      <c r="K47" s="46" t="s">
        <v>203</v>
      </c>
      <c r="L47" s="25"/>
      <c r="M47" s="25"/>
      <c r="N47" s="25"/>
      <c r="O47" s="25"/>
      <c r="P47" s="25"/>
      <c r="Q47" s="25"/>
      <c r="R47" s="25"/>
      <c r="S47" s="27">
        <f t="shared" si="1"/>
        <v>1728</v>
      </c>
      <c r="T47" s="28">
        <f>IF(H47-$T$1&gt;365,S47,0)</f>
        <v>0</v>
      </c>
      <c r="U47" s="28">
        <f>IF(H47-$T$1&lt;365,S47,0)</f>
        <v>1728</v>
      </c>
      <c r="V47" s="28">
        <f>IF(H47="",S47,0)</f>
        <v>0</v>
      </c>
      <c r="W47" s="37">
        <v>45733</v>
      </c>
      <c r="X47" s="28"/>
      <c r="Y47" s="28"/>
      <c r="Z47" s="28">
        <v>1728</v>
      </c>
      <c r="AA47" s="28">
        <f>S47-Z47-Y47-X47</f>
        <v>0</v>
      </c>
      <c r="AB47" s="28">
        <f>IF(H47-$AB$1&gt;365,AA47,0)</f>
        <v>0</v>
      </c>
      <c r="AC47" s="28">
        <f>IF(H47-$AB$1&lt;=365,AA47,0)</f>
        <v>0</v>
      </c>
      <c r="AD47" s="28">
        <f>IF(H47="",AA47,0)</f>
        <v>0</v>
      </c>
      <c r="AE47" s="28">
        <f>IF(AND(H47-$AB$1&gt;365,H47-$AB$1&lt;=730),AB47,0)</f>
        <v>0</v>
      </c>
      <c r="AF47" s="28">
        <f>IF(AND(H47-$AB$1&gt;730,H47-$AB$1&lt;=1095),AB47,0)</f>
        <v>0</v>
      </c>
      <c r="AG47" s="28">
        <f>IF(AND(H47-$AB$1&gt;1095,H47-$AB$1&lt;=1825),AB47,0)</f>
        <v>0</v>
      </c>
      <c r="AH47" s="28">
        <f>IF(H47-$AB$1&gt;1825,AB47,0)</f>
        <v>0</v>
      </c>
      <c r="AJ47" s="12"/>
    </row>
    <row r="48" spans="1:36" ht="18" customHeight="1" x14ac:dyDescent="0.3">
      <c r="A48" s="115"/>
      <c r="B48" s="116"/>
      <c r="C48" s="117"/>
      <c r="D48" s="118" t="str">
        <f t="shared" si="20"/>
        <v/>
      </c>
      <c r="E48" s="31">
        <f>SUBTOTAL(9,E47:E47)</f>
        <v>1728</v>
      </c>
      <c r="F48" s="31"/>
      <c r="G48" s="132"/>
      <c r="H48" s="120"/>
      <c r="I48" s="115"/>
      <c r="J48" s="115"/>
      <c r="K48" s="115"/>
      <c r="L48" s="31">
        <f t="shared" ref="L48:Q48" si="27">SUBTOTAL(9,L47:L47)</f>
        <v>0</v>
      </c>
      <c r="M48" s="31">
        <f t="shared" si="27"/>
        <v>0</v>
      </c>
      <c r="N48" s="31">
        <f t="shared" si="27"/>
        <v>0</v>
      </c>
      <c r="O48" s="31">
        <f t="shared" si="27"/>
        <v>0</v>
      </c>
      <c r="P48" s="31">
        <f t="shared" si="27"/>
        <v>0</v>
      </c>
      <c r="Q48" s="31">
        <f t="shared" si="27"/>
        <v>0</v>
      </c>
      <c r="R48" s="31"/>
      <c r="S48" s="31">
        <f t="shared" si="1"/>
        <v>1728</v>
      </c>
      <c r="T48" s="31">
        <f>SUBTOTAL(9,T47:T47)</f>
        <v>0</v>
      </c>
      <c r="U48" s="31">
        <f>SUBTOTAL(9,U47:U47)</f>
        <v>1728</v>
      </c>
      <c r="V48" s="31">
        <f>SUBTOTAL(9,V47:V47)</f>
        <v>0</v>
      </c>
      <c r="W48" s="31"/>
      <c r="X48" s="31">
        <f t="shared" ref="X48:AH48" si="28">SUBTOTAL(9,X47:X47)</f>
        <v>0</v>
      </c>
      <c r="Y48" s="31">
        <f t="shared" si="28"/>
        <v>0</v>
      </c>
      <c r="Z48" s="31">
        <f t="shared" si="28"/>
        <v>1728</v>
      </c>
      <c r="AA48" s="31">
        <f t="shared" si="28"/>
        <v>0</v>
      </c>
      <c r="AB48" s="31">
        <f t="shared" si="28"/>
        <v>0</v>
      </c>
      <c r="AC48" s="31">
        <f t="shared" si="28"/>
        <v>0</v>
      </c>
      <c r="AD48" s="31">
        <f t="shared" si="28"/>
        <v>0</v>
      </c>
      <c r="AE48" s="31">
        <f t="shared" si="28"/>
        <v>0</v>
      </c>
      <c r="AF48" s="31">
        <f t="shared" si="28"/>
        <v>0</v>
      </c>
      <c r="AG48" s="31">
        <f t="shared" si="28"/>
        <v>0</v>
      </c>
      <c r="AH48" s="31">
        <f t="shared" si="28"/>
        <v>0</v>
      </c>
      <c r="AJ48" s="12"/>
    </row>
    <row r="49" spans="1:36" ht="18" customHeight="1" x14ac:dyDescent="0.3">
      <c r="A49" s="6" t="s">
        <v>212</v>
      </c>
      <c r="B49" s="83">
        <v>1020077</v>
      </c>
      <c r="C49" s="83" t="s">
        <v>213</v>
      </c>
      <c r="D49" s="93" t="str">
        <f t="shared" si="20"/>
        <v/>
      </c>
      <c r="E49" s="22">
        <v>5550.12</v>
      </c>
      <c r="F49" s="22"/>
      <c r="G49" s="24">
        <v>45058</v>
      </c>
      <c r="H49" s="23">
        <v>46006</v>
      </c>
      <c r="I49" s="142">
        <v>0.3</v>
      </c>
      <c r="J49" s="142" t="s">
        <v>206</v>
      </c>
      <c r="K49" s="123" t="s">
        <v>192</v>
      </c>
      <c r="L49" s="25"/>
      <c r="M49" s="25"/>
      <c r="N49" s="25"/>
      <c r="O49" s="25"/>
      <c r="P49" s="25"/>
      <c r="Q49" s="25"/>
      <c r="R49" s="25"/>
      <c r="S49" s="27">
        <f t="shared" si="1"/>
        <v>5550.12</v>
      </c>
      <c r="T49" s="28">
        <f>IF(H49-$T$1&gt;365,S49,0)</f>
        <v>0</v>
      </c>
      <c r="U49" s="28">
        <f>IF(H49-$T$1&lt;365,S49,0)</f>
        <v>5550.12</v>
      </c>
      <c r="V49" s="28">
        <f>IF(H49="",S49,0)</f>
        <v>0</v>
      </c>
      <c r="W49" s="8"/>
      <c r="X49" s="28"/>
      <c r="Y49" s="28"/>
      <c r="Z49" s="28"/>
      <c r="AA49" s="28">
        <f>S49-Z49-Y49-X49</f>
        <v>5550.12</v>
      </c>
      <c r="AB49" s="28">
        <f>IF(H49-$AB$1&gt;365,AA49,0)</f>
        <v>0</v>
      </c>
      <c r="AC49" s="28">
        <f>IF(H49-$AB$1&lt;=365,AA49,0)</f>
        <v>5550.12</v>
      </c>
      <c r="AD49" s="28">
        <f>IF(H49="",AA49,0)</f>
        <v>0</v>
      </c>
      <c r="AE49" s="28">
        <f>IF(AND(H49-$AB$1&gt;365,H49-$AB$1&lt;=730),AB49,0)</f>
        <v>0</v>
      </c>
      <c r="AF49" s="28">
        <f>IF(AND(H49-$AB$1&gt;730,H49-$AB$1&lt;=1095),AB49,0)</f>
        <v>0</v>
      </c>
      <c r="AG49" s="28">
        <f>IF(AND(H49-$AB$1&gt;1095,H49-$AB$1&lt;=1825),AB49,0)</f>
        <v>0</v>
      </c>
      <c r="AH49" s="28">
        <f>IF(H49-$AB$1&gt;1825,AB49,0)</f>
        <v>0</v>
      </c>
      <c r="AJ49" s="12"/>
    </row>
    <row r="50" spans="1:36" ht="18" customHeight="1" x14ac:dyDescent="0.3">
      <c r="A50" s="115"/>
      <c r="B50" s="117"/>
      <c r="C50" s="117"/>
      <c r="D50" s="118" t="str">
        <f>IF(W50&gt;0,"zwrócone","")</f>
        <v/>
      </c>
      <c r="E50" s="31">
        <f>SUBTOTAL(9,E49:E49)</f>
        <v>5550.12</v>
      </c>
      <c r="F50" s="31"/>
      <c r="G50" s="132"/>
      <c r="H50" s="120"/>
      <c r="I50" s="115"/>
      <c r="J50" s="115"/>
      <c r="K50" s="115"/>
      <c r="L50" s="31">
        <f>SUBTOTAL(9,L49:L49)</f>
        <v>0</v>
      </c>
      <c r="M50" s="31">
        <f>SUBTOTAL(9,M49:M49)</f>
        <v>0</v>
      </c>
      <c r="N50" s="31">
        <f>SUBTOTAL(9,N49:N49)</f>
        <v>0</v>
      </c>
      <c r="O50" s="31">
        <f>SUBTOTAL(9,O49:O49)</f>
        <v>0</v>
      </c>
      <c r="P50" s="31">
        <f>SUBTOTAL(9,P49:P49)</f>
        <v>0</v>
      </c>
      <c r="Q50" s="31">
        <f t="shared" ref="Q50:V50" si="29">SUBTOTAL(9,Q49:Q49)</f>
        <v>0</v>
      </c>
      <c r="R50" s="31"/>
      <c r="S50" s="31">
        <f t="shared" si="1"/>
        <v>5550.12</v>
      </c>
      <c r="T50" s="31">
        <f t="shared" si="29"/>
        <v>0</v>
      </c>
      <c r="U50" s="31">
        <f t="shared" si="29"/>
        <v>5550.12</v>
      </c>
      <c r="V50" s="31">
        <f t="shared" si="29"/>
        <v>0</v>
      </c>
      <c r="W50" s="31"/>
      <c r="X50" s="31">
        <f t="shared" ref="X50:AH50" si="30">SUBTOTAL(9,X49:X49)</f>
        <v>0</v>
      </c>
      <c r="Y50" s="31">
        <f t="shared" si="30"/>
        <v>0</v>
      </c>
      <c r="Z50" s="31">
        <f t="shared" si="30"/>
        <v>0</v>
      </c>
      <c r="AA50" s="31">
        <f t="shared" si="30"/>
        <v>5550.12</v>
      </c>
      <c r="AB50" s="31">
        <f t="shared" si="30"/>
        <v>0</v>
      </c>
      <c r="AC50" s="31">
        <f t="shared" si="30"/>
        <v>5550.12</v>
      </c>
      <c r="AD50" s="31">
        <f t="shared" si="30"/>
        <v>0</v>
      </c>
      <c r="AE50" s="31">
        <f t="shared" si="30"/>
        <v>0</v>
      </c>
      <c r="AF50" s="31">
        <f t="shared" si="30"/>
        <v>0</v>
      </c>
      <c r="AG50" s="31">
        <f t="shared" si="30"/>
        <v>0</v>
      </c>
      <c r="AH50" s="31">
        <f t="shared" si="30"/>
        <v>0</v>
      </c>
      <c r="AJ50" s="12"/>
    </row>
    <row r="51" spans="1:36" ht="20.399999999999999" x14ac:dyDescent="0.3">
      <c r="A51" s="85" t="s">
        <v>20</v>
      </c>
      <c r="B51" s="157">
        <v>1021615</v>
      </c>
      <c r="C51" s="157" t="s">
        <v>21</v>
      </c>
      <c r="D51" s="158" t="str">
        <f t="shared" si="20"/>
        <v>zwrócone</v>
      </c>
      <c r="E51" s="159">
        <f>ROUND(11610*30%,2)</f>
        <v>3483</v>
      </c>
      <c r="F51" s="159"/>
      <c r="G51" s="160">
        <v>43916</v>
      </c>
      <c r="H51" s="84">
        <v>45885</v>
      </c>
      <c r="I51" s="46">
        <v>0.3</v>
      </c>
      <c r="J51" s="46" t="s">
        <v>257</v>
      </c>
      <c r="K51" s="6" t="s">
        <v>203</v>
      </c>
      <c r="L51" s="25"/>
      <c r="M51" s="25">
        <v>0.26</v>
      </c>
      <c r="N51" s="25">
        <v>1.3</v>
      </c>
      <c r="O51" s="25">
        <v>175.16</v>
      </c>
      <c r="P51" s="25">
        <f>ROUND(((E51*6.01%)/365)*365,2)</f>
        <v>209.33</v>
      </c>
      <c r="Q51" s="25">
        <f>ROUND((E51*5.31%),2)</f>
        <v>184.95</v>
      </c>
      <c r="R51" s="25">
        <f>ROUND(((E51*5.15%)/365)*243,2)</f>
        <v>119.42</v>
      </c>
      <c r="S51" s="27">
        <f t="shared" si="1"/>
        <v>4173.42</v>
      </c>
      <c r="T51" s="28">
        <f>IF(H51-$T$1&gt;365,S51,0)</f>
        <v>0</v>
      </c>
      <c r="U51" s="28">
        <f>IF(H51-$T$1&lt;365,S51,0)</f>
        <v>4173.42</v>
      </c>
      <c r="V51" s="28">
        <f>IF(H51="",S51,0)</f>
        <v>0</v>
      </c>
      <c r="W51" s="37">
        <v>45901</v>
      </c>
      <c r="X51" s="28">
        <v>571</v>
      </c>
      <c r="Y51" s="28">
        <v>119.42</v>
      </c>
      <c r="Z51" s="28">
        <v>3483</v>
      </c>
      <c r="AA51" s="28">
        <f>S51-Z51-Y51-X51</f>
        <v>0</v>
      </c>
      <c r="AB51" s="28">
        <f>IF(H51-$AB$1&gt;365,AA51,0)</f>
        <v>0</v>
      </c>
      <c r="AC51" s="28">
        <f>IF(H51-$AB$1&lt;=365,AA51,0)</f>
        <v>0</v>
      </c>
      <c r="AD51" s="28">
        <f>IF(H51="",AA51,0)</f>
        <v>0</v>
      </c>
      <c r="AE51" s="28">
        <f>IF(AND(H51-$AB$1&gt;365,H51-$AB$1&lt;=730),AB51,0)</f>
        <v>0</v>
      </c>
      <c r="AF51" s="28">
        <f>IF(AND(H51-$AB$1&gt;730,H51-$AB$1&lt;=1095),AB51,0)</f>
        <v>0</v>
      </c>
      <c r="AG51" s="28">
        <f>IF(AND(H51-$AB$1&gt;1095,H51-$AB$1&lt;=1825),AB51,0)</f>
        <v>0</v>
      </c>
      <c r="AH51" s="28">
        <f>IF(H51-$AB$1&gt;1825,AB51,0)</f>
        <v>0</v>
      </c>
    </row>
    <row r="52" spans="1:36" ht="17.25" customHeight="1" x14ac:dyDescent="0.3">
      <c r="A52" s="115"/>
      <c r="B52" s="117"/>
      <c r="C52" s="117"/>
      <c r="D52" s="118" t="str">
        <f t="shared" si="20"/>
        <v/>
      </c>
      <c r="E52" s="31">
        <f>SUBTOTAL(9,E51:E51)</f>
        <v>3483</v>
      </c>
      <c r="F52" s="31"/>
      <c r="G52" s="132"/>
      <c r="H52" s="120"/>
      <c r="I52" s="115"/>
      <c r="J52" s="115"/>
      <c r="K52" s="115"/>
      <c r="L52" s="31">
        <f t="shared" ref="L52:Q52" si="31">SUBTOTAL(9,L51:L51)</f>
        <v>0</v>
      </c>
      <c r="M52" s="31">
        <f t="shared" si="31"/>
        <v>0.26</v>
      </c>
      <c r="N52" s="31">
        <f t="shared" si="31"/>
        <v>1.3</v>
      </c>
      <c r="O52" s="31">
        <f t="shared" si="31"/>
        <v>175.16</v>
      </c>
      <c r="P52" s="31">
        <f t="shared" si="31"/>
        <v>209.33</v>
      </c>
      <c r="Q52" s="31">
        <f t="shared" si="31"/>
        <v>184.95</v>
      </c>
      <c r="R52" s="31"/>
      <c r="S52" s="31">
        <f t="shared" si="1"/>
        <v>4054</v>
      </c>
      <c r="T52" s="31">
        <f>SUBTOTAL(9,T51:T51)</f>
        <v>0</v>
      </c>
      <c r="U52" s="31">
        <f>SUBTOTAL(9,U51:U51)</f>
        <v>4173.42</v>
      </c>
      <c r="V52" s="31">
        <f>SUBTOTAL(9,V51:V51)</f>
        <v>0</v>
      </c>
      <c r="W52" s="31"/>
      <c r="X52" s="31">
        <f t="shared" ref="X52:AH52" si="32">SUBTOTAL(9,X51:X51)</f>
        <v>571</v>
      </c>
      <c r="Y52" s="31">
        <f t="shared" si="32"/>
        <v>119.42</v>
      </c>
      <c r="Z52" s="31">
        <f t="shared" si="32"/>
        <v>3483</v>
      </c>
      <c r="AA52" s="31">
        <f t="shared" si="32"/>
        <v>0</v>
      </c>
      <c r="AB52" s="31">
        <f t="shared" si="32"/>
        <v>0</v>
      </c>
      <c r="AC52" s="31">
        <f t="shared" si="32"/>
        <v>0</v>
      </c>
      <c r="AD52" s="31">
        <f t="shared" si="32"/>
        <v>0</v>
      </c>
      <c r="AE52" s="31">
        <f t="shared" si="32"/>
        <v>0</v>
      </c>
      <c r="AF52" s="31">
        <f t="shared" si="32"/>
        <v>0</v>
      </c>
      <c r="AG52" s="31">
        <f t="shared" si="32"/>
        <v>0</v>
      </c>
      <c r="AH52" s="31">
        <f t="shared" si="32"/>
        <v>0</v>
      </c>
      <c r="AJ52" s="12"/>
    </row>
    <row r="53" spans="1:36" ht="10.199999999999999" customHeight="1" x14ac:dyDescent="0.3">
      <c r="A53" s="6" t="s">
        <v>276</v>
      </c>
      <c r="B53" s="83">
        <v>1022809</v>
      </c>
      <c r="C53" s="83" t="s">
        <v>277</v>
      </c>
      <c r="D53" s="93" t="str">
        <f t="shared" si="20"/>
        <v/>
      </c>
      <c r="E53" s="22">
        <v>2430</v>
      </c>
      <c r="F53" s="22" t="s">
        <v>158</v>
      </c>
      <c r="G53" s="24">
        <v>45295</v>
      </c>
      <c r="H53" s="23">
        <v>46248</v>
      </c>
      <c r="I53" s="46">
        <v>0.3</v>
      </c>
      <c r="J53" s="46" t="s">
        <v>206</v>
      </c>
      <c r="K53" s="46" t="s">
        <v>203</v>
      </c>
      <c r="L53" s="25"/>
      <c r="M53" s="25"/>
      <c r="N53" s="25"/>
      <c r="O53" s="25"/>
      <c r="P53" s="25"/>
      <c r="Q53" s="25"/>
      <c r="R53" s="25"/>
      <c r="S53" s="27">
        <f t="shared" si="1"/>
        <v>2430</v>
      </c>
      <c r="T53" s="28">
        <f>IF(H53-$T$1&gt;365,S53,0)</f>
        <v>0</v>
      </c>
      <c r="U53" s="28">
        <f>IF(H53-$T$1&lt;365,S53,0)</f>
        <v>2430</v>
      </c>
      <c r="V53" s="28">
        <f>IF(H53="",S53,0)</f>
        <v>0</v>
      </c>
      <c r="W53" s="8"/>
      <c r="X53" s="28"/>
      <c r="Y53" s="28"/>
      <c r="Z53" s="28"/>
      <c r="AA53" s="28">
        <f>S53-Z53-Y53-X53</f>
        <v>2430</v>
      </c>
      <c r="AB53" s="28">
        <f>IF(H53-$AB$1&gt;365,AA53,0)</f>
        <v>0</v>
      </c>
      <c r="AC53" s="28">
        <f>IF(H53-$AB$1&lt;=365,AA53,0)</f>
        <v>2430</v>
      </c>
      <c r="AD53" s="28">
        <f>IF(H53="",AA53,0)</f>
        <v>0</v>
      </c>
      <c r="AE53" s="28">
        <f>IF(AND(H53-$AB$1&gt;365,H53-$AB$1&lt;=730),AB53,0)</f>
        <v>0</v>
      </c>
      <c r="AF53" s="28">
        <f>IF(AND(H53-$AB$1&gt;730,H53-$AB$1&lt;=1095),AB53,0)</f>
        <v>0</v>
      </c>
      <c r="AG53" s="28">
        <f>IF(AND(H53-$AB$1&gt;1095,H53-$AB$1&lt;=1825),AB53,0)</f>
        <v>0</v>
      </c>
      <c r="AH53" s="28">
        <f>IF(H53-$AB$1&gt;1825,AB53,0)</f>
        <v>0</v>
      </c>
      <c r="AJ53" s="12"/>
    </row>
    <row r="54" spans="1:36" ht="10.199999999999999" customHeight="1" x14ac:dyDescent="0.3">
      <c r="A54" s="6" t="s">
        <v>276</v>
      </c>
      <c r="B54" s="83">
        <v>1022809</v>
      </c>
      <c r="C54" s="83" t="s">
        <v>367</v>
      </c>
      <c r="D54" s="93"/>
      <c r="E54" s="22">
        <v>7876.84</v>
      </c>
      <c r="F54" s="22" t="s">
        <v>158</v>
      </c>
      <c r="G54" s="24">
        <v>46447</v>
      </c>
      <c r="H54" s="23">
        <v>46660</v>
      </c>
      <c r="I54" s="46">
        <v>1</v>
      </c>
      <c r="J54" s="46" t="s">
        <v>206</v>
      </c>
      <c r="K54" s="46" t="s">
        <v>203</v>
      </c>
      <c r="L54" s="25"/>
      <c r="M54" s="25"/>
      <c r="N54" s="25"/>
      <c r="O54" s="25"/>
      <c r="P54" s="25"/>
      <c r="Q54" s="25"/>
      <c r="R54" s="25"/>
      <c r="S54" s="27">
        <f t="shared" si="1"/>
        <v>7876.84</v>
      </c>
      <c r="T54" s="28"/>
      <c r="U54" s="28"/>
      <c r="V54" s="28"/>
      <c r="W54" s="8"/>
      <c r="X54" s="28"/>
      <c r="Y54" s="28"/>
      <c r="Z54" s="28"/>
      <c r="AA54" s="28">
        <f>S54-Z54-Y54-X54</f>
        <v>7876.84</v>
      </c>
      <c r="AB54" s="28">
        <f>IF(H54-$AB$1&gt;365,AA54,0)</f>
        <v>7876.84</v>
      </c>
      <c r="AC54" s="28">
        <f>IF(H54-$AB$1&lt;=365,AA54,0)</f>
        <v>0</v>
      </c>
      <c r="AD54" s="28">
        <f>IF(H54="",AA54,0)</f>
        <v>0</v>
      </c>
      <c r="AE54" s="28">
        <f>IF(AND(H54-$AB$1&gt;365,H54-$AB$1&lt;=730),AB54,0)</f>
        <v>7876.84</v>
      </c>
      <c r="AF54" s="28">
        <f>IF(AND(H54-$AB$1&gt;730,H54-$AB$1&lt;=1095),AB54,0)</f>
        <v>0</v>
      </c>
      <c r="AG54" s="28">
        <f>IF(AND(H54-$AB$1&gt;1095,H54-$AB$1&lt;=1825),AB54,0)</f>
        <v>0</v>
      </c>
      <c r="AH54" s="28">
        <f>IF(H54-$AB$1&gt;1825,AB54,0)</f>
        <v>0</v>
      </c>
      <c r="AJ54" s="12"/>
    </row>
    <row r="55" spans="1:36" ht="10.199999999999999" customHeight="1" x14ac:dyDescent="0.3">
      <c r="A55" s="85" t="s">
        <v>276</v>
      </c>
      <c r="B55" s="157">
        <v>1022809</v>
      </c>
      <c r="C55" s="157" t="s">
        <v>292</v>
      </c>
      <c r="D55" s="158" t="str">
        <f t="shared" si="20"/>
        <v>zwrócone</v>
      </c>
      <c r="E55" s="159">
        <v>1344.32</v>
      </c>
      <c r="F55" s="159" t="s">
        <v>158</v>
      </c>
      <c r="G55" s="160">
        <v>45335</v>
      </c>
      <c r="H55" s="84">
        <v>45668</v>
      </c>
      <c r="I55" s="46">
        <v>0.3</v>
      </c>
      <c r="J55" s="46" t="s">
        <v>206</v>
      </c>
      <c r="K55" s="46" t="s">
        <v>203</v>
      </c>
      <c r="L55" s="25"/>
      <c r="M55" s="25"/>
      <c r="N55" s="25"/>
      <c r="O55" s="25"/>
      <c r="P55" s="25"/>
      <c r="Q55" s="25"/>
      <c r="R55" s="25"/>
      <c r="S55" s="27">
        <f t="shared" si="1"/>
        <v>1344.32</v>
      </c>
      <c r="T55" s="28"/>
      <c r="U55" s="28"/>
      <c r="V55" s="28"/>
      <c r="W55" s="37">
        <v>45733</v>
      </c>
      <c r="X55" s="28"/>
      <c r="Y55" s="28"/>
      <c r="Z55" s="28">
        <v>1344.32</v>
      </c>
      <c r="AA55" s="28">
        <f>S55-Z55-Y55-X55</f>
        <v>0</v>
      </c>
      <c r="AB55" s="28">
        <f>IF(H55-$AB$1&gt;365,AA55,0)</f>
        <v>0</v>
      </c>
      <c r="AC55" s="28">
        <f>IF(H55-$AB$1&lt;=365,AA55,0)</f>
        <v>0</v>
      </c>
      <c r="AD55" s="28">
        <f>IF(H55="",AA55,0)</f>
        <v>0</v>
      </c>
      <c r="AE55" s="28">
        <f>IF(AND(H55-$AB$1&gt;365,H55-$AB$1&lt;=730),AB55,0)</f>
        <v>0</v>
      </c>
      <c r="AF55" s="28">
        <f>IF(AND(H55-$AB$1&gt;730,H55-$AB$1&lt;=1095),AB55,0)</f>
        <v>0</v>
      </c>
      <c r="AG55" s="28">
        <f>IF(AND(H55-$AB$1&gt;1095,H55-$AB$1&lt;=1825),AB55,0)</f>
        <v>0</v>
      </c>
      <c r="AH55" s="28">
        <f>IF(H55-$AB$1&gt;1825,AB55,0)</f>
        <v>0</v>
      </c>
      <c r="AJ55" s="12"/>
    </row>
    <row r="56" spans="1:36" ht="17.25" customHeight="1" x14ac:dyDescent="0.3">
      <c r="A56" s="115"/>
      <c r="B56" s="117"/>
      <c r="C56" s="117"/>
      <c r="D56" s="118" t="str">
        <f>IF(W56&gt;0,"zwrócone","")</f>
        <v/>
      </c>
      <c r="E56" s="31">
        <f>SUBTOTAL(9,E53:E55)</f>
        <v>11651.16</v>
      </c>
      <c r="F56" s="31"/>
      <c r="G56" s="132"/>
      <c r="H56" s="120"/>
      <c r="I56" s="115"/>
      <c r="J56" s="115"/>
      <c r="K56" s="115"/>
      <c r="L56" s="31">
        <f t="shared" ref="L56:V56" si="33">SUBTOTAL(9,L53:L55)</f>
        <v>0</v>
      </c>
      <c r="M56" s="31">
        <f t="shared" si="33"/>
        <v>0</v>
      </c>
      <c r="N56" s="31">
        <f t="shared" si="33"/>
        <v>0</v>
      </c>
      <c r="O56" s="31">
        <f t="shared" si="33"/>
        <v>0</v>
      </c>
      <c r="P56" s="31">
        <f t="shared" si="33"/>
        <v>0</v>
      </c>
      <c r="Q56" s="31">
        <f t="shared" si="33"/>
        <v>0</v>
      </c>
      <c r="R56" s="31"/>
      <c r="S56" s="31">
        <f t="shared" si="1"/>
        <v>11651.16</v>
      </c>
      <c r="T56" s="31">
        <f t="shared" si="33"/>
        <v>0</v>
      </c>
      <c r="U56" s="31">
        <f t="shared" si="33"/>
        <v>2430</v>
      </c>
      <c r="V56" s="31">
        <f t="shared" si="33"/>
        <v>0</v>
      </c>
      <c r="W56" s="31"/>
      <c r="X56" s="31">
        <f t="shared" ref="X56:AH56" si="34">SUBTOTAL(9,X53:X55)</f>
        <v>0</v>
      </c>
      <c r="Y56" s="31">
        <f t="shared" si="34"/>
        <v>0</v>
      </c>
      <c r="Z56" s="31">
        <f t="shared" si="34"/>
        <v>1344.32</v>
      </c>
      <c r="AA56" s="31">
        <f t="shared" si="34"/>
        <v>10306.84</v>
      </c>
      <c r="AB56" s="31">
        <f t="shared" si="34"/>
        <v>7876.84</v>
      </c>
      <c r="AC56" s="31">
        <f t="shared" si="34"/>
        <v>2430</v>
      </c>
      <c r="AD56" s="31">
        <f t="shared" si="34"/>
        <v>0</v>
      </c>
      <c r="AE56" s="31">
        <f t="shared" si="34"/>
        <v>7876.84</v>
      </c>
      <c r="AF56" s="31">
        <f t="shared" si="34"/>
        <v>0</v>
      </c>
      <c r="AG56" s="31">
        <f t="shared" si="34"/>
        <v>0</v>
      </c>
      <c r="AH56" s="31">
        <f t="shared" si="34"/>
        <v>0</v>
      </c>
      <c r="AJ56" s="12"/>
    </row>
    <row r="57" spans="1:36" ht="24" customHeight="1" x14ac:dyDescent="0.3">
      <c r="A57" s="90" t="s">
        <v>22</v>
      </c>
      <c r="B57" s="32">
        <v>1022810</v>
      </c>
      <c r="C57" s="83" t="s">
        <v>23</v>
      </c>
      <c r="D57" s="93" t="str">
        <f t="shared" si="20"/>
        <v/>
      </c>
      <c r="E57" s="22">
        <f>7800*30%</f>
        <v>2340</v>
      </c>
      <c r="F57" s="22"/>
      <c r="G57" s="24">
        <v>43257</v>
      </c>
      <c r="H57" s="23">
        <v>46037</v>
      </c>
      <c r="I57" s="142">
        <v>0.3</v>
      </c>
      <c r="J57" s="142" t="s">
        <v>257</v>
      </c>
      <c r="K57" s="6" t="s">
        <v>194</v>
      </c>
      <c r="L57" s="25">
        <v>46.190000000000055</v>
      </c>
      <c r="M57" s="25">
        <v>6.42</v>
      </c>
      <c r="N57" s="25">
        <v>0.88</v>
      </c>
      <c r="O57" s="25">
        <v>117.68</v>
      </c>
      <c r="P57" s="25">
        <f>ROUND(((E57*6.01%)/365)*365,2)</f>
        <v>140.63</v>
      </c>
      <c r="Q57" s="25">
        <f>ROUND((E57*5.31%),2)</f>
        <v>124.25</v>
      </c>
      <c r="R57" s="25"/>
      <c r="S57" s="27">
        <f t="shared" si="1"/>
        <v>2776.05</v>
      </c>
      <c r="T57" s="28">
        <f>IF(H57-$T$1&gt;365,S57,0)</f>
        <v>0</v>
      </c>
      <c r="U57" s="28">
        <f>IF(H57-$T$1&lt;365,S57,0)</f>
        <v>2776.05</v>
      </c>
      <c r="V57" s="28">
        <f>IF(H57="",S57,0)</f>
        <v>0</v>
      </c>
      <c r="W57" s="8"/>
      <c r="X57" s="28"/>
      <c r="Y57" s="28"/>
      <c r="Z57" s="28"/>
      <c r="AA57" s="28">
        <f>S57-Z57-Y57-X57</f>
        <v>2776.05</v>
      </c>
      <c r="AB57" s="28">
        <f>IF(H57-$AB$1&gt;365,AA57,0)</f>
        <v>0</v>
      </c>
      <c r="AC57" s="28">
        <f>IF(H57-$AB$1&lt;=365,AA57,0)</f>
        <v>2776.05</v>
      </c>
      <c r="AD57" s="28">
        <f>IF(H57="",AA57,0)</f>
        <v>0</v>
      </c>
      <c r="AE57" s="28">
        <f>IF(AND(H57-$AB$1&gt;365,H57-$AB$1&lt;=730),AB57,0)</f>
        <v>0</v>
      </c>
      <c r="AF57" s="28">
        <f>IF(AND(H57-$AB$1&gt;730,H57-$AB$1&lt;=1095),AB57,0)</f>
        <v>0</v>
      </c>
      <c r="AG57" s="28">
        <f>IF(AND(H57-$AB$1&gt;1095,H57-$AB$1&lt;=1825),AB57,0)</f>
        <v>0</v>
      </c>
      <c r="AH57" s="28">
        <f>IF(H57-$AB$1&gt;1825,AB57,0)</f>
        <v>0</v>
      </c>
    </row>
    <row r="58" spans="1:36" ht="21.75" customHeight="1" x14ac:dyDescent="0.3">
      <c r="A58" s="130"/>
      <c r="B58" s="131"/>
      <c r="C58" s="117"/>
      <c r="D58" s="118" t="str">
        <f t="shared" si="20"/>
        <v/>
      </c>
      <c r="E58" s="31">
        <f>SUBTOTAL(9,E57:E57)</f>
        <v>2340</v>
      </c>
      <c r="F58" s="31"/>
      <c r="G58" s="132"/>
      <c r="H58" s="120"/>
      <c r="I58" s="115"/>
      <c r="J58" s="115"/>
      <c r="K58" s="115"/>
      <c r="L58" s="31">
        <f t="shared" ref="L58:Q58" si="35">SUBTOTAL(9,L57:L57)</f>
        <v>46.190000000000055</v>
      </c>
      <c r="M58" s="31">
        <f t="shared" si="35"/>
        <v>6.42</v>
      </c>
      <c r="N58" s="31">
        <f t="shared" si="35"/>
        <v>0.88</v>
      </c>
      <c r="O58" s="31">
        <f t="shared" si="35"/>
        <v>117.68</v>
      </c>
      <c r="P58" s="31">
        <f t="shared" si="35"/>
        <v>140.63</v>
      </c>
      <c r="Q58" s="31">
        <f t="shared" si="35"/>
        <v>124.25</v>
      </c>
      <c r="R58" s="31"/>
      <c r="S58" s="31">
        <f t="shared" si="1"/>
        <v>2776.05</v>
      </c>
      <c r="T58" s="31">
        <f>SUBTOTAL(9,T57:T57)</f>
        <v>0</v>
      </c>
      <c r="U58" s="31">
        <f>SUBTOTAL(9,U57:U57)</f>
        <v>2776.05</v>
      </c>
      <c r="V58" s="31">
        <f>SUBTOTAL(9,V57:V57)</f>
        <v>0</v>
      </c>
      <c r="W58" s="31"/>
      <c r="X58" s="31">
        <f t="shared" ref="X58:AH58" si="36">SUBTOTAL(9,X57:X57)</f>
        <v>0</v>
      </c>
      <c r="Y58" s="31">
        <f t="shared" si="36"/>
        <v>0</v>
      </c>
      <c r="Z58" s="31">
        <f t="shared" si="36"/>
        <v>0</v>
      </c>
      <c r="AA58" s="31">
        <f t="shared" si="36"/>
        <v>2776.05</v>
      </c>
      <c r="AB58" s="31">
        <f t="shared" si="36"/>
        <v>0</v>
      </c>
      <c r="AC58" s="31">
        <f t="shared" si="36"/>
        <v>2776.05</v>
      </c>
      <c r="AD58" s="31">
        <f t="shared" si="36"/>
        <v>0</v>
      </c>
      <c r="AE58" s="31">
        <f t="shared" si="36"/>
        <v>0</v>
      </c>
      <c r="AF58" s="31">
        <f t="shared" si="36"/>
        <v>0</v>
      </c>
      <c r="AG58" s="31">
        <f t="shared" si="36"/>
        <v>0</v>
      </c>
      <c r="AH58" s="31">
        <f t="shared" si="36"/>
        <v>0</v>
      </c>
      <c r="AJ58" s="12"/>
    </row>
    <row r="59" spans="1:36" ht="10.199999999999999" customHeight="1" x14ac:dyDescent="0.3">
      <c r="A59" s="6" t="s">
        <v>264</v>
      </c>
      <c r="B59" s="83">
        <v>1022941</v>
      </c>
      <c r="C59" s="83" t="s">
        <v>265</v>
      </c>
      <c r="D59" s="93" t="str">
        <f>IF(W59&gt;0,"zwrócone","")</f>
        <v/>
      </c>
      <c r="E59" s="22">
        <v>1440</v>
      </c>
      <c r="F59" s="22"/>
      <c r="G59" s="24">
        <v>45266</v>
      </c>
      <c r="H59" s="23">
        <v>47087</v>
      </c>
      <c r="I59" s="46">
        <v>0.3</v>
      </c>
      <c r="J59" s="46" t="s">
        <v>206</v>
      </c>
      <c r="K59" s="46" t="s">
        <v>192</v>
      </c>
      <c r="L59" s="25"/>
      <c r="M59" s="25"/>
      <c r="N59" s="25"/>
      <c r="O59" s="25"/>
      <c r="P59" s="25"/>
      <c r="Q59" s="25"/>
      <c r="R59" s="25"/>
      <c r="S59" s="27">
        <f t="shared" si="1"/>
        <v>1440</v>
      </c>
      <c r="T59" s="28">
        <f>IF(H59-$T$1&gt;365,S59,0)</f>
        <v>1440</v>
      </c>
      <c r="U59" s="28">
        <f>IF(H59-$T$1&lt;365,S59,0)</f>
        <v>0</v>
      </c>
      <c r="V59" s="28">
        <f>IF(H59="",S59,0)</f>
        <v>0</v>
      </c>
      <c r="W59" s="8"/>
      <c r="X59" s="28"/>
      <c r="Y59" s="28"/>
      <c r="Z59" s="28"/>
      <c r="AA59" s="28">
        <f>S59-Z59-Y59-X59</f>
        <v>1440</v>
      </c>
      <c r="AB59" s="28">
        <f>IF(H59-$AB$1&gt;365,AA59,0)</f>
        <v>1440</v>
      </c>
      <c r="AC59" s="28">
        <f>IF(H59-$AB$1&lt;=365,AA59,0)</f>
        <v>0</v>
      </c>
      <c r="AD59" s="28">
        <f>IF(H59="",AA59,0)</f>
        <v>0</v>
      </c>
      <c r="AE59" s="28">
        <f>IF(AND(H59-$AB$1&gt;365,H59-$AB$1&lt;=730),AB59,0)</f>
        <v>0</v>
      </c>
      <c r="AF59" s="28">
        <f>IF(AND(H59-$AB$1&gt;730,H59-$AB$1&lt;=1095),AB59,0)</f>
        <v>0</v>
      </c>
      <c r="AG59" s="28">
        <f>IF(AND(H59-$AB$1&gt;1095,H59-$AB$1&lt;=1825),AB59,0)</f>
        <v>1440</v>
      </c>
      <c r="AH59" s="28">
        <f>IF(H59-$AB$1&gt;1825,AB59,0)</f>
        <v>0</v>
      </c>
      <c r="AJ59" s="12"/>
    </row>
    <row r="60" spans="1:36" ht="17.25" customHeight="1" x14ac:dyDescent="0.3">
      <c r="A60" s="115"/>
      <c r="B60" s="117"/>
      <c r="C60" s="117"/>
      <c r="D60" s="118" t="str">
        <f>IF(W60&gt;0,"zwrócone","")</f>
        <v/>
      </c>
      <c r="E60" s="31">
        <f>SUBTOTAL(9,E59:E59)</f>
        <v>1440</v>
      </c>
      <c r="F60" s="31"/>
      <c r="G60" s="132"/>
      <c r="H60" s="120"/>
      <c r="I60" s="115"/>
      <c r="J60" s="115"/>
      <c r="K60" s="115"/>
      <c r="L60" s="31">
        <f t="shared" ref="L60:V60" si="37">SUBTOTAL(9,L59:L59)</f>
        <v>0</v>
      </c>
      <c r="M60" s="31">
        <f t="shared" si="37"/>
        <v>0</v>
      </c>
      <c r="N60" s="31">
        <f t="shared" si="37"/>
        <v>0</v>
      </c>
      <c r="O60" s="31">
        <f t="shared" si="37"/>
        <v>0</v>
      </c>
      <c r="P60" s="31">
        <f t="shared" si="37"/>
        <v>0</v>
      </c>
      <c r="Q60" s="31">
        <f t="shared" si="37"/>
        <v>0</v>
      </c>
      <c r="R60" s="31"/>
      <c r="S60" s="31">
        <f t="shared" si="1"/>
        <v>1440</v>
      </c>
      <c r="T60" s="31">
        <f t="shared" si="37"/>
        <v>1440</v>
      </c>
      <c r="U60" s="31">
        <f t="shared" si="37"/>
        <v>0</v>
      </c>
      <c r="V60" s="31">
        <f t="shared" si="37"/>
        <v>0</v>
      </c>
      <c r="W60" s="31"/>
      <c r="X60" s="31">
        <f t="shared" ref="X60:AH60" si="38">SUBTOTAL(9,X59:X59)</f>
        <v>0</v>
      </c>
      <c r="Y60" s="31">
        <f t="shared" si="38"/>
        <v>0</v>
      </c>
      <c r="Z60" s="31">
        <f t="shared" si="38"/>
        <v>0</v>
      </c>
      <c r="AA60" s="31">
        <f t="shared" si="38"/>
        <v>1440</v>
      </c>
      <c r="AB60" s="31">
        <f t="shared" si="38"/>
        <v>1440</v>
      </c>
      <c r="AC60" s="31">
        <f t="shared" si="38"/>
        <v>0</v>
      </c>
      <c r="AD60" s="31">
        <f t="shared" si="38"/>
        <v>0</v>
      </c>
      <c r="AE60" s="31">
        <f t="shared" si="38"/>
        <v>0</v>
      </c>
      <c r="AF60" s="31">
        <f t="shared" si="38"/>
        <v>0</v>
      </c>
      <c r="AG60" s="31">
        <f t="shared" si="38"/>
        <v>1440</v>
      </c>
      <c r="AH60" s="31">
        <f t="shared" si="38"/>
        <v>0</v>
      </c>
      <c r="AJ60" s="12"/>
    </row>
    <row r="61" spans="1:36" ht="20.399999999999999" customHeight="1" x14ac:dyDescent="0.3">
      <c r="A61" s="85" t="s">
        <v>180</v>
      </c>
      <c r="B61" s="157">
        <v>1025692</v>
      </c>
      <c r="C61" s="157" t="s">
        <v>161</v>
      </c>
      <c r="D61" s="158" t="str">
        <f t="shared" si="20"/>
        <v>zwrócone</v>
      </c>
      <c r="E61" s="159">
        <v>2495.58</v>
      </c>
      <c r="F61" s="159"/>
      <c r="G61" s="160">
        <v>44929</v>
      </c>
      <c r="H61" s="84">
        <v>45699</v>
      </c>
      <c r="I61" s="46">
        <v>0.3</v>
      </c>
      <c r="J61" s="46" t="s">
        <v>206</v>
      </c>
      <c r="K61" s="46" t="s">
        <v>203</v>
      </c>
      <c r="L61" s="25"/>
      <c r="M61" s="25"/>
      <c r="N61" s="25"/>
      <c r="O61" s="25"/>
      <c r="P61" s="25"/>
      <c r="Q61" s="25"/>
      <c r="R61" s="25"/>
      <c r="S61" s="27">
        <f t="shared" si="1"/>
        <v>2495.58</v>
      </c>
      <c r="T61" s="28">
        <f>IF(H61-$T$1&gt;365,S61,0)</f>
        <v>0</v>
      </c>
      <c r="U61" s="28">
        <f>IF(H61-$T$1&lt;365,S61,0)</f>
        <v>2495.58</v>
      </c>
      <c r="V61" s="28">
        <f>IF(H61="",S61,0)</f>
        <v>0</v>
      </c>
      <c r="W61" s="37">
        <v>45729</v>
      </c>
      <c r="X61" s="28"/>
      <c r="Y61" s="28"/>
      <c r="Z61" s="28">
        <v>2495.58</v>
      </c>
      <c r="AA61" s="28">
        <f>S61-Z61-Y61-X61</f>
        <v>0</v>
      </c>
      <c r="AB61" s="28">
        <f>IF(H61-$AB$1&gt;365,AA61,0)</f>
        <v>0</v>
      </c>
      <c r="AC61" s="28">
        <f>IF(H61-$AB$1&lt;=365,AA61,0)</f>
        <v>0</v>
      </c>
      <c r="AD61" s="28">
        <f>IF(H61="",AA61,0)</f>
        <v>0</v>
      </c>
      <c r="AE61" s="28">
        <f>IF(AND(H61-$AB$1&gt;365,H61-$AB$1&lt;=730),AB61,0)</f>
        <v>0</v>
      </c>
      <c r="AF61" s="28">
        <f>IF(AND(H61-$AB$1&gt;730,H61-$AB$1&lt;=1095),AB61,0)</f>
        <v>0</v>
      </c>
      <c r="AG61" s="28">
        <f>IF(AND(H61-$AB$1&gt;1095,H61-$AB$1&lt;=1825),AB61,0)</f>
        <v>0</v>
      </c>
      <c r="AH61" s="28">
        <f>IF(H61-$AB$1&gt;1825,AB61,0)</f>
        <v>0</v>
      </c>
      <c r="AJ61" s="12"/>
    </row>
    <row r="62" spans="1:36" ht="17.25" customHeight="1" x14ac:dyDescent="0.3">
      <c r="A62" s="115"/>
      <c r="B62" s="117"/>
      <c r="C62" s="117"/>
      <c r="D62" s="118" t="str">
        <f>IF(W62&gt;0,"zwrócone","")</f>
        <v/>
      </c>
      <c r="E62" s="31">
        <f>SUBTOTAL(9,E61:E61)</f>
        <v>2495.58</v>
      </c>
      <c r="F62" s="31"/>
      <c r="G62" s="132"/>
      <c r="H62" s="120"/>
      <c r="I62" s="115"/>
      <c r="J62" s="115"/>
      <c r="K62" s="115"/>
      <c r="L62" s="31">
        <f t="shared" ref="L62:Q62" si="39">SUBTOTAL(9,L61:L61)</f>
        <v>0</v>
      </c>
      <c r="M62" s="31">
        <f t="shared" si="39"/>
        <v>0</v>
      </c>
      <c r="N62" s="31">
        <f t="shared" si="39"/>
        <v>0</v>
      </c>
      <c r="O62" s="31">
        <f t="shared" si="39"/>
        <v>0</v>
      </c>
      <c r="P62" s="31">
        <f t="shared" si="39"/>
        <v>0</v>
      </c>
      <c r="Q62" s="31">
        <f t="shared" si="39"/>
        <v>0</v>
      </c>
      <c r="R62" s="31"/>
      <c r="S62" s="31">
        <f t="shared" si="1"/>
        <v>2495.58</v>
      </c>
      <c r="T62" s="31">
        <f>SUBTOTAL(9,T61:T61)</f>
        <v>0</v>
      </c>
      <c r="U62" s="31">
        <f>SUBTOTAL(9,U61:U61)</f>
        <v>2495.58</v>
      </c>
      <c r="V62" s="31">
        <f>SUBTOTAL(9,V61:V61)</f>
        <v>0</v>
      </c>
      <c r="W62" s="31"/>
      <c r="X62" s="31">
        <f t="shared" ref="X62:AH62" si="40">SUBTOTAL(9,X61:X61)</f>
        <v>0</v>
      </c>
      <c r="Y62" s="31">
        <f t="shared" si="40"/>
        <v>0</v>
      </c>
      <c r="Z62" s="31">
        <f t="shared" si="40"/>
        <v>2495.58</v>
      </c>
      <c r="AA62" s="31">
        <f t="shared" si="40"/>
        <v>0</v>
      </c>
      <c r="AB62" s="31">
        <f t="shared" si="40"/>
        <v>0</v>
      </c>
      <c r="AC62" s="31">
        <f t="shared" si="40"/>
        <v>0</v>
      </c>
      <c r="AD62" s="31">
        <f t="shared" si="40"/>
        <v>0</v>
      </c>
      <c r="AE62" s="31">
        <f t="shared" si="40"/>
        <v>0</v>
      </c>
      <c r="AF62" s="31">
        <f t="shared" si="40"/>
        <v>0</v>
      </c>
      <c r="AG62" s="31">
        <f t="shared" si="40"/>
        <v>0</v>
      </c>
      <c r="AH62" s="31">
        <f t="shared" si="40"/>
        <v>0</v>
      </c>
      <c r="AJ62" s="12"/>
    </row>
    <row r="63" spans="1:36" ht="16.2" customHeight="1" x14ac:dyDescent="0.3">
      <c r="A63" s="90" t="s">
        <v>24</v>
      </c>
      <c r="B63" s="32">
        <v>1026293</v>
      </c>
      <c r="C63" s="83" t="s">
        <v>281</v>
      </c>
      <c r="D63" s="93" t="str">
        <f t="shared" si="20"/>
        <v/>
      </c>
      <c r="E63" s="22">
        <v>53172</v>
      </c>
      <c r="F63" s="22"/>
      <c r="G63" s="24">
        <v>45282</v>
      </c>
      <c r="H63" s="23">
        <v>46384</v>
      </c>
      <c r="I63" s="46">
        <v>0.7</v>
      </c>
      <c r="J63" s="46" t="s">
        <v>206</v>
      </c>
      <c r="K63" s="6" t="s">
        <v>203</v>
      </c>
      <c r="L63" s="25"/>
      <c r="M63" s="25"/>
      <c r="N63" s="25"/>
      <c r="O63" s="25"/>
      <c r="P63" s="25"/>
      <c r="Q63" s="25"/>
      <c r="R63" s="25"/>
      <c r="S63" s="27">
        <f t="shared" si="1"/>
        <v>53172</v>
      </c>
      <c r="T63" s="28"/>
      <c r="U63" s="28"/>
      <c r="V63" s="28"/>
      <c r="W63" s="37"/>
      <c r="X63" s="28"/>
      <c r="Y63" s="28"/>
      <c r="Z63" s="28"/>
      <c r="AA63" s="28">
        <f>S63-Z63-Y63-X63</f>
        <v>53172</v>
      </c>
      <c r="AB63" s="28">
        <f>IF(H63-$AB$1&gt;365,AA63,0)</f>
        <v>53172</v>
      </c>
      <c r="AC63" s="28">
        <f>IF(H63-$AB$1&lt;=365,AA63,0)</f>
        <v>0</v>
      </c>
      <c r="AD63" s="28">
        <f>IF(H63="",AA63,0)</f>
        <v>0</v>
      </c>
      <c r="AE63" s="28">
        <f>IF(AND(H63-$AB$1&gt;365,H63-$AB$1&lt;=730),AB63,0)</f>
        <v>53172</v>
      </c>
      <c r="AF63" s="28">
        <f>IF(AND(H63-$AB$1&gt;730,H63-$AB$1&lt;=1095),AB63,0)</f>
        <v>0</v>
      </c>
      <c r="AG63" s="28">
        <f>IF(AND(H63-$AB$1&gt;1095,H63-$AB$1&lt;=1825),AB63,0)</f>
        <v>0</v>
      </c>
      <c r="AH63" s="28">
        <f>IF(H63-$AB$1&gt;1825,AB63,0)</f>
        <v>0</v>
      </c>
      <c r="AJ63" s="12"/>
    </row>
    <row r="64" spans="1:36" ht="16.2" customHeight="1" x14ac:dyDescent="0.3">
      <c r="A64" s="90" t="s">
        <v>24</v>
      </c>
      <c r="B64" s="32">
        <v>1026294</v>
      </c>
      <c r="C64" s="83" t="s">
        <v>281</v>
      </c>
      <c r="D64" s="93" t="str">
        <f t="shared" si="20"/>
        <v/>
      </c>
      <c r="E64" s="22">
        <v>22788</v>
      </c>
      <c r="F64" s="22"/>
      <c r="G64" s="24">
        <v>45282</v>
      </c>
      <c r="H64" s="23">
        <v>47115</v>
      </c>
      <c r="I64" s="46">
        <v>0.3</v>
      </c>
      <c r="J64" s="46" t="s">
        <v>206</v>
      </c>
      <c r="K64" s="6" t="s">
        <v>203</v>
      </c>
      <c r="L64" s="25"/>
      <c r="M64" s="25"/>
      <c r="N64" s="25"/>
      <c r="O64" s="25"/>
      <c r="P64" s="25"/>
      <c r="Q64" s="25"/>
      <c r="R64" s="25"/>
      <c r="S64" s="27">
        <f t="shared" si="1"/>
        <v>22788</v>
      </c>
      <c r="T64" s="28"/>
      <c r="U64" s="28"/>
      <c r="V64" s="28"/>
      <c r="W64" s="37"/>
      <c r="X64" s="28"/>
      <c r="Y64" s="28"/>
      <c r="Z64" s="28"/>
      <c r="AA64" s="28">
        <f>S64-Z64-Y64-X64</f>
        <v>22788</v>
      </c>
      <c r="AB64" s="28">
        <f>IF(H64-$AB$1&gt;365,AA64,0)</f>
        <v>22788</v>
      </c>
      <c r="AC64" s="28">
        <f>IF(H64-$AB$1&lt;=365,AA64,0)</f>
        <v>0</v>
      </c>
      <c r="AD64" s="28">
        <f>IF(H64="",AA64,0)</f>
        <v>0</v>
      </c>
      <c r="AE64" s="28">
        <f>IF(AND(H64-$AB$1&gt;365,H64-$AB$1&lt;=730),AB64,0)</f>
        <v>0</v>
      </c>
      <c r="AF64" s="28">
        <f>IF(AND(H64-$AB$1&gt;730,H64-$AB$1&lt;=1095),AB64,0)</f>
        <v>0</v>
      </c>
      <c r="AG64" s="28">
        <f>IF(AND(H64-$AB$1&gt;1095,H64-$AB$1&lt;=1825),AB64,0)</f>
        <v>22788</v>
      </c>
      <c r="AH64" s="28">
        <f>IF(H64-$AB$1&gt;1825,AB64,0)</f>
        <v>0</v>
      </c>
      <c r="AJ64" s="12"/>
    </row>
    <row r="65" spans="1:36" ht="16.2" customHeight="1" x14ac:dyDescent="0.3">
      <c r="A65" s="130"/>
      <c r="B65" s="131"/>
      <c r="C65" s="117"/>
      <c r="D65" s="118" t="str">
        <f t="shared" si="20"/>
        <v/>
      </c>
      <c r="E65" s="31">
        <f>SUBTOTAL(9,E63:E64)</f>
        <v>75960</v>
      </c>
      <c r="F65" s="31"/>
      <c r="G65" s="135"/>
      <c r="H65" s="31"/>
      <c r="I65" s="136"/>
      <c r="J65" s="136"/>
      <c r="K65" s="136"/>
      <c r="L65" s="31">
        <f t="shared" ref="L65:V65" si="41">SUBTOTAL(9,L63:L64)</f>
        <v>0</v>
      </c>
      <c r="M65" s="31">
        <f t="shared" si="41"/>
        <v>0</v>
      </c>
      <c r="N65" s="31">
        <f t="shared" si="41"/>
        <v>0</v>
      </c>
      <c r="O65" s="31">
        <f t="shared" si="41"/>
        <v>0</v>
      </c>
      <c r="P65" s="31">
        <f t="shared" si="41"/>
        <v>0</v>
      </c>
      <c r="Q65" s="31">
        <f t="shared" si="41"/>
        <v>0</v>
      </c>
      <c r="R65" s="31"/>
      <c r="S65" s="31">
        <f t="shared" si="1"/>
        <v>75960</v>
      </c>
      <c r="T65" s="31">
        <f t="shared" si="41"/>
        <v>0</v>
      </c>
      <c r="U65" s="31">
        <f t="shared" si="41"/>
        <v>0</v>
      </c>
      <c r="V65" s="31">
        <f t="shared" si="41"/>
        <v>0</v>
      </c>
      <c r="W65" s="31"/>
      <c r="X65" s="31">
        <f t="shared" ref="X65:AH65" si="42">SUBTOTAL(9,X63:X64)</f>
        <v>0</v>
      </c>
      <c r="Y65" s="31">
        <f t="shared" si="42"/>
        <v>0</v>
      </c>
      <c r="Z65" s="31">
        <f t="shared" si="42"/>
        <v>0</v>
      </c>
      <c r="AA65" s="31">
        <f t="shared" si="42"/>
        <v>75960</v>
      </c>
      <c r="AB65" s="31">
        <f t="shared" si="42"/>
        <v>75960</v>
      </c>
      <c r="AC65" s="31">
        <f t="shared" si="42"/>
        <v>0</v>
      </c>
      <c r="AD65" s="31">
        <f t="shared" si="42"/>
        <v>0</v>
      </c>
      <c r="AE65" s="31">
        <f t="shared" si="42"/>
        <v>53172</v>
      </c>
      <c r="AF65" s="31">
        <f t="shared" si="42"/>
        <v>0</v>
      </c>
      <c r="AG65" s="31">
        <f t="shared" si="42"/>
        <v>22788</v>
      </c>
      <c r="AH65" s="31">
        <f t="shared" si="42"/>
        <v>0</v>
      </c>
      <c r="AJ65" s="12"/>
    </row>
    <row r="66" spans="1:36" ht="16.2" customHeight="1" x14ac:dyDescent="0.3">
      <c r="A66" s="161" t="s">
        <v>25</v>
      </c>
      <c r="B66" s="162">
        <v>1026793</v>
      </c>
      <c r="C66" s="157" t="s">
        <v>26</v>
      </c>
      <c r="D66" s="158" t="s">
        <v>356</v>
      </c>
      <c r="E66" s="159">
        <f>ROUND(4467*70%,2)</f>
        <v>3126.9</v>
      </c>
      <c r="F66" s="159"/>
      <c r="G66" s="160">
        <v>43886</v>
      </c>
      <c r="H66" s="84">
        <v>43981</v>
      </c>
      <c r="I66" s="46">
        <v>0.7</v>
      </c>
      <c r="J66" s="46"/>
      <c r="K66" s="6" t="s">
        <v>204</v>
      </c>
      <c r="L66" s="25"/>
      <c r="M66" s="25"/>
      <c r="N66" s="25"/>
      <c r="O66" s="25"/>
      <c r="P66" s="25"/>
      <c r="Q66" s="25"/>
      <c r="R66" s="25"/>
      <c r="S66" s="27">
        <f t="shared" si="1"/>
        <v>3126.9</v>
      </c>
      <c r="T66" s="28">
        <f>IF(H66-$T$1&gt;365,S66,0)</f>
        <v>0</v>
      </c>
      <c r="U66" s="28">
        <f>IF(H66-$T$1&lt;365,S66,0)</f>
        <v>3126.9</v>
      </c>
      <c r="V66" s="28">
        <f>IF(H66="",S66,0)</f>
        <v>0</v>
      </c>
      <c r="W66" s="37">
        <v>45688</v>
      </c>
      <c r="X66" s="28"/>
      <c r="Y66" s="28"/>
      <c r="Z66" s="28">
        <v>3126.9</v>
      </c>
      <c r="AA66" s="28">
        <f>S66-Z66-Y66-X66</f>
        <v>0</v>
      </c>
      <c r="AB66" s="28">
        <f>IF(H66-$AB$1&gt;365,AA66,0)</f>
        <v>0</v>
      </c>
      <c r="AC66" s="28">
        <f>IF(H66-$AB$1&lt;=365,AA66,0)</f>
        <v>0</v>
      </c>
      <c r="AD66" s="28">
        <f>IF(H66="",AA66,0)</f>
        <v>0</v>
      </c>
      <c r="AE66" s="28">
        <f>IF(AND(H66-$AB$1&gt;365,H66-$AB$1&lt;=730),AB66,0)</f>
        <v>0</v>
      </c>
      <c r="AF66" s="28">
        <f>IF(AND(H66-$AB$1&gt;730,H66-$AB$1&lt;=1095),AB66,0)</f>
        <v>0</v>
      </c>
      <c r="AG66" s="28">
        <f>IF(AND(H66-$AB$1&gt;1095,H66-$AB$1&lt;=1825),AB66,0)</f>
        <v>0</v>
      </c>
      <c r="AH66" s="28">
        <f>IF(H66-$AB$1&gt;1825,AB66,0)</f>
        <v>0</v>
      </c>
    </row>
    <row r="67" spans="1:36" ht="16.2" customHeight="1" x14ac:dyDescent="0.3">
      <c r="A67" s="161" t="s">
        <v>25</v>
      </c>
      <c r="B67" s="162">
        <v>1026793</v>
      </c>
      <c r="C67" s="157" t="s">
        <v>26</v>
      </c>
      <c r="D67" s="158" t="s">
        <v>356</v>
      </c>
      <c r="E67" s="159">
        <f>ROUND(4467*30%,2)</f>
        <v>1340.1</v>
      </c>
      <c r="F67" s="159"/>
      <c r="G67" s="160">
        <v>43886</v>
      </c>
      <c r="H67" s="84">
        <v>45777</v>
      </c>
      <c r="I67" s="46">
        <v>0.3</v>
      </c>
      <c r="J67" s="46"/>
      <c r="K67" s="6" t="s">
        <v>204</v>
      </c>
      <c r="L67" s="25"/>
      <c r="M67" s="25"/>
      <c r="N67" s="25"/>
      <c r="O67" s="25"/>
      <c r="P67" s="25"/>
      <c r="Q67" s="25"/>
      <c r="R67" s="25"/>
      <c r="S67" s="27">
        <f t="shared" si="1"/>
        <v>1340.1</v>
      </c>
      <c r="T67" s="28">
        <f>IF(H67-$T$1&gt;365,S67,0)</f>
        <v>0</v>
      </c>
      <c r="U67" s="28">
        <f>IF(H67-$T$1&lt;365,S67,0)</f>
        <v>1340.1</v>
      </c>
      <c r="V67" s="28">
        <f>IF(H67="",S67,0)</f>
        <v>0</v>
      </c>
      <c r="W67" s="37">
        <v>45688</v>
      </c>
      <c r="X67" s="28"/>
      <c r="Y67" s="28"/>
      <c r="Z67" s="28">
        <v>1340.1</v>
      </c>
      <c r="AA67" s="28">
        <f>S67-Z67-Y67-X67</f>
        <v>0</v>
      </c>
      <c r="AB67" s="28">
        <f>IF(H67-$AB$1&gt;365,AA67,0)</f>
        <v>0</v>
      </c>
      <c r="AC67" s="28">
        <f>IF(H67-$AB$1&lt;=365,AA67,0)</f>
        <v>0</v>
      </c>
      <c r="AD67" s="28">
        <f>IF(H67="",AA67,0)</f>
        <v>0</v>
      </c>
      <c r="AE67" s="28">
        <f>IF(AND(H67-$AB$1&gt;365,H67-$AB$1&lt;=730),AB67,0)</f>
        <v>0</v>
      </c>
      <c r="AF67" s="28">
        <f>IF(AND(H67-$AB$1&gt;730,H67-$AB$1&lt;=1095),AB67,0)</f>
        <v>0</v>
      </c>
      <c r="AG67" s="28">
        <f>IF(AND(H67-$AB$1&gt;1095,H67-$AB$1&lt;=1825),AB67,0)</f>
        <v>0</v>
      </c>
      <c r="AH67" s="28">
        <f>IF(H67-$AB$1&gt;1825,AB67,0)</f>
        <v>0</v>
      </c>
    </row>
    <row r="68" spans="1:36" ht="16.2" customHeight="1" x14ac:dyDescent="0.3">
      <c r="A68" s="130"/>
      <c r="B68" s="131"/>
      <c r="C68" s="117"/>
      <c r="D68" s="118" t="str">
        <f t="shared" ref="D68:D110" si="43">IF(W68&gt;0,"zwrócone","")</f>
        <v/>
      </c>
      <c r="E68" s="31">
        <f>SUBTOTAL(9,E66:E67)</f>
        <v>4467</v>
      </c>
      <c r="F68" s="31"/>
      <c r="G68" s="119"/>
      <c r="H68" s="120"/>
      <c r="I68" s="115"/>
      <c r="J68" s="115"/>
      <c r="K68" s="115"/>
      <c r="L68" s="31">
        <f>SUBTOTAL(9,L66:L67)</f>
        <v>0</v>
      </c>
      <c r="M68" s="31">
        <f>SUBTOTAL(9,M66:M67)</f>
        <v>0</v>
      </c>
      <c r="N68" s="31">
        <f>SUBTOTAL(9,N66:N67)</f>
        <v>0</v>
      </c>
      <c r="O68" s="31">
        <f>SUBTOTAL(9,O66:O67)</f>
        <v>0</v>
      </c>
      <c r="P68" s="31">
        <f>SUBTOTAL(9,P66:P67)</f>
        <v>0</v>
      </c>
      <c r="Q68" s="31">
        <f t="shared" ref="Q68:V68" si="44">SUBTOTAL(9,Q66:Q67)</f>
        <v>0</v>
      </c>
      <c r="R68" s="31"/>
      <c r="S68" s="31">
        <f t="shared" si="1"/>
        <v>4467</v>
      </c>
      <c r="T68" s="31">
        <f t="shared" si="44"/>
        <v>0</v>
      </c>
      <c r="U68" s="31">
        <f t="shared" si="44"/>
        <v>4467</v>
      </c>
      <c r="V68" s="31">
        <f t="shared" si="44"/>
        <v>0</v>
      </c>
      <c r="W68" s="31"/>
      <c r="X68" s="31">
        <f t="shared" ref="X68:AH68" si="45">SUBTOTAL(9,X66:X67)</f>
        <v>0</v>
      </c>
      <c r="Y68" s="31">
        <f t="shared" si="45"/>
        <v>0</v>
      </c>
      <c r="Z68" s="31">
        <f t="shared" si="45"/>
        <v>4467</v>
      </c>
      <c r="AA68" s="31">
        <f>SUBTOTAL(9,AA66:AA67)</f>
        <v>0</v>
      </c>
      <c r="AB68" s="31">
        <f t="shared" si="45"/>
        <v>0</v>
      </c>
      <c r="AC68" s="31">
        <f t="shared" si="45"/>
        <v>0</v>
      </c>
      <c r="AD68" s="31">
        <f t="shared" si="45"/>
        <v>0</v>
      </c>
      <c r="AE68" s="31">
        <f t="shared" si="45"/>
        <v>0</v>
      </c>
      <c r="AF68" s="31">
        <f t="shared" si="45"/>
        <v>0</v>
      </c>
      <c r="AG68" s="31">
        <f t="shared" si="45"/>
        <v>0</v>
      </c>
      <c r="AH68" s="31">
        <f t="shared" si="45"/>
        <v>0</v>
      </c>
      <c r="AJ68" s="12"/>
    </row>
    <row r="69" spans="1:36" ht="16.2" customHeight="1" x14ac:dyDescent="0.3">
      <c r="A69" s="161" t="s">
        <v>27</v>
      </c>
      <c r="B69" s="162">
        <v>1026831</v>
      </c>
      <c r="C69" s="157" t="s">
        <v>28</v>
      </c>
      <c r="D69" s="158" t="str">
        <f t="shared" si="43"/>
        <v>zwrócone</v>
      </c>
      <c r="E69" s="159">
        <v>2131.1999999999998</v>
      </c>
      <c r="F69" s="159"/>
      <c r="G69" s="160">
        <v>43147</v>
      </c>
      <c r="H69" s="84">
        <v>44141</v>
      </c>
      <c r="I69" s="46">
        <v>0.3</v>
      </c>
      <c r="J69" s="46" t="s">
        <v>257</v>
      </c>
      <c r="K69" s="6" t="s">
        <v>219</v>
      </c>
      <c r="L69" s="163">
        <v>50.590000000000146</v>
      </c>
      <c r="M69" s="25">
        <v>5.84</v>
      </c>
      <c r="N69" s="25">
        <v>0.8</v>
      </c>
      <c r="O69" s="25">
        <v>107.18</v>
      </c>
      <c r="P69" s="25">
        <f>ROUND(((E69*6.01%)/365)*365,2)</f>
        <v>128.09</v>
      </c>
      <c r="Q69" s="25">
        <f>ROUND((E69*5.31%),2)</f>
        <v>113.17</v>
      </c>
      <c r="R69" s="25">
        <f>ROUND(((E69*5.37%)/365)*42,2)</f>
        <v>13.17</v>
      </c>
      <c r="S69" s="27">
        <f t="shared" si="1"/>
        <v>2550.0400000000004</v>
      </c>
      <c r="T69" s="28">
        <f>IF(H69-$T$1&gt;365,S69,0)</f>
        <v>0</v>
      </c>
      <c r="U69" s="28">
        <f>IF(H69-$T$1&lt;365,S69,0)</f>
        <v>2550.0400000000004</v>
      </c>
      <c r="V69" s="28">
        <f>IF(H69="",S69,0)</f>
        <v>0</v>
      </c>
      <c r="W69" s="37">
        <v>45700</v>
      </c>
      <c r="X69" s="28">
        <v>405.67</v>
      </c>
      <c r="Y69" s="28">
        <v>13.17</v>
      </c>
      <c r="Z69" s="28">
        <v>2131.1999999999998</v>
      </c>
      <c r="AA69" s="28">
        <f>S69-Z69-Y69-X69</f>
        <v>5.6843418860808015E-13</v>
      </c>
      <c r="AB69" s="28">
        <f>IF(H69-$AB$1&gt;365,AA69,0)</f>
        <v>0</v>
      </c>
      <c r="AC69" s="28">
        <f>IF(H69-$AB$1&lt;=365,AA69,0)</f>
        <v>5.6843418860808015E-13</v>
      </c>
      <c r="AD69" s="28">
        <f>IF(H69="",AA69,0)</f>
        <v>0</v>
      </c>
      <c r="AE69" s="28">
        <f>IF(AND(H69-$AB$1&gt;365,H69-$AB$1&lt;=730),AB69,0)</f>
        <v>0</v>
      </c>
      <c r="AF69" s="28">
        <f>IF(AND(H69-$AB$1&gt;730,H69-$AB$1&lt;=1095),AB69,0)</f>
        <v>0</v>
      </c>
      <c r="AG69" s="28">
        <f>IF(AND(H69-$AB$1&gt;1095,H69-$AB$1&lt;=1825),AB69,0)</f>
        <v>0</v>
      </c>
      <c r="AH69" s="28">
        <f>IF(H69-$AB$1&gt;1825,AB69,0)</f>
        <v>0</v>
      </c>
    </row>
    <row r="70" spans="1:36" ht="16.2" customHeight="1" x14ac:dyDescent="0.3">
      <c r="A70" s="161" t="s">
        <v>27</v>
      </c>
      <c r="B70" s="162">
        <v>1026831</v>
      </c>
      <c r="C70" s="157" t="s">
        <v>29</v>
      </c>
      <c r="D70" s="158" t="str">
        <f t="shared" si="43"/>
        <v>zwrócone</v>
      </c>
      <c r="E70" s="159">
        <v>1188</v>
      </c>
      <c r="F70" s="159"/>
      <c r="G70" s="160">
        <v>43178</v>
      </c>
      <c r="H70" s="84">
        <v>44102</v>
      </c>
      <c r="I70" s="46">
        <v>0.3</v>
      </c>
      <c r="J70" s="46" t="s">
        <v>257</v>
      </c>
      <c r="K70" s="6" t="s">
        <v>219</v>
      </c>
      <c r="L70" s="163">
        <v>26.889999999999873</v>
      </c>
      <c r="M70" s="25">
        <v>3.26</v>
      </c>
      <c r="N70" s="25">
        <v>0.44</v>
      </c>
      <c r="O70" s="25">
        <v>59.74</v>
      </c>
      <c r="P70" s="25">
        <f>ROUND(((E70*6.01%)/365)*365,2)</f>
        <v>71.400000000000006</v>
      </c>
      <c r="Q70" s="25">
        <f>ROUND((E70*5.31%),2)</f>
        <v>63.08</v>
      </c>
      <c r="R70" s="25">
        <f>ROUND(((E70*5.37%)/365)*42,2)</f>
        <v>7.34</v>
      </c>
      <c r="S70" s="27">
        <f t="shared" si="1"/>
        <v>1420.1499999999999</v>
      </c>
      <c r="T70" s="28">
        <f>IF(H70-$T$1&gt;365,S70,0)</f>
        <v>0</v>
      </c>
      <c r="U70" s="28">
        <f>IF(H70-$T$1&lt;365,S70,0)</f>
        <v>1420.1499999999999</v>
      </c>
      <c r="V70" s="28">
        <f>IF(H70="",S70,0)</f>
        <v>0</v>
      </c>
      <c r="W70" s="37">
        <v>45700</v>
      </c>
      <c r="X70" s="28">
        <v>224.81</v>
      </c>
      <c r="Y70" s="28">
        <v>7.34</v>
      </c>
      <c r="Z70" s="28">
        <v>1188</v>
      </c>
      <c r="AA70" s="28">
        <f>S70-Z70-Y70-X70</f>
        <v>0</v>
      </c>
      <c r="AB70" s="28">
        <f>IF(H70-$AB$1&gt;365,AA70,0)</f>
        <v>0</v>
      </c>
      <c r="AC70" s="28">
        <f>IF(H70-$AB$1&lt;=365,AA70,0)</f>
        <v>0</v>
      </c>
      <c r="AD70" s="28">
        <f>IF(H70="",AA70,0)</f>
        <v>0</v>
      </c>
      <c r="AE70" s="28">
        <f>IF(AND(H70-$AB$1&gt;365,H70-$AB$1&lt;=730),AB70,0)</f>
        <v>0</v>
      </c>
      <c r="AF70" s="28">
        <f>IF(AND(H70-$AB$1&gt;730,H70-$AB$1&lt;=1095),AB70,0)</f>
        <v>0</v>
      </c>
      <c r="AG70" s="28">
        <f>IF(AND(H70-$AB$1&gt;1095,H70-$AB$1&lt;=1825),AB70,0)</f>
        <v>0</v>
      </c>
      <c r="AH70" s="28">
        <f>IF(H70-$AB$1&gt;1825,AB70,0)</f>
        <v>0</v>
      </c>
    </row>
    <row r="71" spans="1:36" ht="16.2" customHeight="1" x14ac:dyDescent="0.3">
      <c r="A71" s="130"/>
      <c r="B71" s="131"/>
      <c r="C71" s="117"/>
      <c r="D71" s="118" t="str">
        <f t="shared" si="43"/>
        <v/>
      </c>
      <c r="E71" s="31">
        <f>SUBTOTAL(9,E69:E70)</f>
        <v>3319.2</v>
      </c>
      <c r="F71" s="31"/>
      <c r="G71" s="119"/>
      <c r="H71" s="120"/>
      <c r="I71" s="115"/>
      <c r="J71" s="115"/>
      <c r="K71" s="115"/>
      <c r="L71" s="31">
        <f t="shared" ref="L71:V71" si="46">SUBTOTAL(9,L69:L70)</f>
        <v>77.480000000000018</v>
      </c>
      <c r="M71" s="31">
        <f t="shared" si="46"/>
        <v>9.1</v>
      </c>
      <c r="N71" s="31">
        <f t="shared" si="46"/>
        <v>1.24</v>
      </c>
      <c r="O71" s="31">
        <f t="shared" si="46"/>
        <v>166.92000000000002</v>
      </c>
      <c r="P71" s="31">
        <f t="shared" si="46"/>
        <v>199.49</v>
      </c>
      <c r="Q71" s="31">
        <f t="shared" si="46"/>
        <v>176.25</v>
      </c>
      <c r="R71" s="31"/>
      <c r="S71" s="31">
        <f t="shared" si="1"/>
        <v>3949.6799999999994</v>
      </c>
      <c r="T71" s="31">
        <f t="shared" si="46"/>
        <v>0</v>
      </c>
      <c r="U71" s="31">
        <f t="shared" si="46"/>
        <v>3970.1900000000005</v>
      </c>
      <c r="V71" s="31">
        <f t="shared" si="46"/>
        <v>0</v>
      </c>
      <c r="W71" s="31"/>
      <c r="X71" s="31">
        <f t="shared" ref="X71:AH71" si="47">SUBTOTAL(9,X69:X70)</f>
        <v>630.48</v>
      </c>
      <c r="Y71" s="31">
        <f t="shared" si="47"/>
        <v>20.509999999999998</v>
      </c>
      <c r="Z71" s="31">
        <f t="shared" si="47"/>
        <v>3319.2</v>
      </c>
      <c r="AA71" s="31">
        <f t="shared" si="47"/>
        <v>5.6843418860808015E-13</v>
      </c>
      <c r="AB71" s="31">
        <f t="shared" si="47"/>
        <v>0</v>
      </c>
      <c r="AC71" s="31">
        <f t="shared" si="47"/>
        <v>5.6843418860808015E-13</v>
      </c>
      <c r="AD71" s="31">
        <f t="shared" si="47"/>
        <v>0</v>
      </c>
      <c r="AE71" s="31">
        <f t="shared" si="47"/>
        <v>0</v>
      </c>
      <c r="AF71" s="31">
        <f t="shared" si="47"/>
        <v>0</v>
      </c>
      <c r="AG71" s="31">
        <f t="shared" si="47"/>
        <v>0</v>
      </c>
      <c r="AH71" s="31">
        <f t="shared" si="47"/>
        <v>0</v>
      </c>
      <c r="AJ71" s="12"/>
    </row>
    <row r="72" spans="1:36" ht="16.2" customHeight="1" x14ac:dyDescent="0.3">
      <c r="A72" s="90" t="s">
        <v>345</v>
      </c>
      <c r="B72" s="32">
        <v>1030092</v>
      </c>
      <c r="C72" s="83" t="s">
        <v>346</v>
      </c>
      <c r="D72" s="93" t="str">
        <f>IF(W72&gt;0,"zwrócone","")</f>
        <v/>
      </c>
      <c r="E72" s="22">
        <v>17476.73</v>
      </c>
      <c r="F72" s="22"/>
      <c r="G72" s="24">
        <v>45677</v>
      </c>
      <c r="H72" s="23">
        <v>46660</v>
      </c>
      <c r="I72" s="46">
        <v>1</v>
      </c>
      <c r="J72" s="46" t="s">
        <v>206</v>
      </c>
      <c r="K72" s="6" t="s">
        <v>203</v>
      </c>
      <c r="L72" s="25"/>
      <c r="M72" s="25"/>
      <c r="N72" s="25"/>
      <c r="O72" s="25"/>
      <c r="P72" s="25"/>
      <c r="Q72" s="25"/>
      <c r="R72" s="25"/>
      <c r="S72" s="27">
        <f t="shared" si="1"/>
        <v>17476.73</v>
      </c>
      <c r="T72" s="28">
        <f>IF(H72-$T$1&gt;365,S72,0)</f>
        <v>17476.73</v>
      </c>
      <c r="U72" s="28">
        <f>IF(H72-$T$1&lt;365,S72,0)</f>
        <v>0</v>
      </c>
      <c r="V72" s="28">
        <f>IF(H72="",S72,0)</f>
        <v>0</v>
      </c>
      <c r="W72" s="37"/>
      <c r="X72" s="28"/>
      <c r="Y72" s="28"/>
      <c r="Z72" s="28"/>
      <c r="AA72" s="28">
        <f>S72-Z72-Y72-X72</f>
        <v>17476.73</v>
      </c>
      <c r="AB72" s="28">
        <f>IF(H72-$AB$1&gt;365,AA72,0)</f>
        <v>17476.73</v>
      </c>
      <c r="AC72" s="28">
        <f>IF(H72-$AB$1&lt;=365,AA72,0)</f>
        <v>0</v>
      </c>
      <c r="AD72" s="28">
        <f>IF(H72="",AA72,0)</f>
        <v>0</v>
      </c>
      <c r="AE72" s="28">
        <f>IF(AND(H72-$AB$1&gt;365,H72-$AB$1&lt;=730),AB72,0)</f>
        <v>17476.73</v>
      </c>
      <c r="AF72" s="28">
        <f>IF(AND(H72-$AB$1&gt;730,H72-$AB$1&lt;=1095),AB72,0)</f>
        <v>0</v>
      </c>
      <c r="AG72" s="28">
        <f>IF(AND(H72-$AB$1&gt;1095,H72-$AB$1&lt;=1825),AB72,0)</f>
        <v>0</v>
      </c>
      <c r="AH72" s="28">
        <f>IF(H72-$AB$1&gt;1825,AB72,0)</f>
        <v>0</v>
      </c>
      <c r="AJ72" s="12"/>
    </row>
    <row r="73" spans="1:36" ht="16.2" customHeight="1" x14ac:dyDescent="0.3">
      <c r="A73" s="130"/>
      <c r="B73" s="131"/>
      <c r="C73" s="117"/>
      <c r="D73" s="118" t="str">
        <f>IF(W73&gt;0,"zwrócone","")</f>
        <v/>
      </c>
      <c r="E73" s="31">
        <f>SUBTOTAL(9,E72:E72)</f>
        <v>17476.73</v>
      </c>
      <c r="F73" s="31"/>
      <c r="G73" s="119"/>
      <c r="H73" s="120"/>
      <c r="I73" s="115"/>
      <c r="J73" s="115"/>
      <c r="K73" s="115"/>
      <c r="L73" s="31">
        <f t="shared" ref="L73:Q73" si="48">SUBTOTAL(9,L72:L72)</f>
        <v>0</v>
      </c>
      <c r="M73" s="31">
        <f t="shared" si="48"/>
        <v>0</v>
      </c>
      <c r="N73" s="31">
        <f t="shared" si="48"/>
        <v>0</v>
      </c>
      <c r="O73" s="31">
        <f t="shared" si="48"/>
        <v>0</v>
      </c>
      <c r="P73" s="31">
        <f t="shared" si="48"/>
        <v>0</v>
      </c>
      <c r="Q73" s="31">
        <f t="shared" si="48"/>
        <v>0</v>
      </c>
      <c r="R73" s="31"/>
      <c r="S73" s="31">
        <f t="shared" si="1"/>
        <v>17476.73</v>
      </c>
      <c r="T73" s="31">
        <f>SUBTOTAL(9,T72:T72)</f>
        <v>17476.73</v>
      </c>
      <c r="U73" s="31">
        <f>SUBTOTAL(9,U72:U72)</f>
        <v>0</v>
      </c>
      <c r="V73" s="31">
        <f>SUBTOTAL(9,V72:V72)</f>
        <v>0</v>
      </c>
      <c r="W73" s="31"/>
      <c r="X73" s="31">
        <f t="shared" ref="X73:AH73" si="49">SUBTOTAL(9,X72:X72)</f>
        <v>0</v>
      </c>
      <c r="Y73" s="31">
        <f t="shared" si="49"/>
        <v>0</v>
      </c>
      <c r="Z73" s="31">
        <f t="shared" si="49"/>
        <v>0</v>
      </c>
      <c r="AA73" s="31">
        <f t="shared" si="49"/>
        <v>17476.73</v>
      </c>
      <c r="AB73" s="31">
        <f t="shared" si="49"/>
        <v>17476.73</v>
      </c>
      <c r="AC73" s="31">
        <f t="shared" si="49"/>
        <v>0</v>
      </c>
      <c r="AD73" s="31">
        <f t="shared" si="49"/>
        <v>0</v>
      </c>
      <c r="AE73" s="31">
        <f t="shared" si="49"/>
        <v>17476.73</v>
      </c>
      <c r="AF73" s="31">
        <f t="shared" si="49"/>
        <v>0</v>
      </c>
      <c r="AG73" s="31">
        <f t="shared" si="49"/>
        <v>0</v>
      </c>
      <c r="AH73" s="31">
        <f t="shared" si="49"/>
        <v>0</v>
      </c>
      <c r="AJ73" s="12"/>
    </row>
    <row r="74" spans="1:36" ht="16.2" customHeight="1" x14ac:dyDescent="0.3">
      <c r="A74" s="90" t="s">
        <v>30</v>
      </c>
      <c r="B74" s="32">
        <v>1030096</v>
      </c>
      <c r="C74" s="83" t="s">
        <v>193</v>
      </c>
      <c r="D74" s="93" t="str">
        <f t="shared" si="43"/>
        <v/>
      </c>
      <c r="E74" s="22">
        <f>5214+176.4</f>
        <v>5390.4</v>
      </c>
      <c r="F74" s="22"/>
      <c r="G74" s="24">
        <v>43558</v>
      </c>
      <c r="H74" s="23">
        <v>46189</v>
      </c>
      <c r="I74" s="46">
        <v>0.3</v>
      </c>
      <c r="J74" s="46" t="s">
        <v>257</v>
      </c>
      <c r="K74" s="6" t="s">
        <v>194</v>
      </c>
      <c r="L74" s="25">
        <v>49.8700000000008</v>
      </c>
      <c r="M74" s="25">
        <v>14.3</v>
      </c>
      <c r="N74" s="25">
        <v>1.95</v>
      </c>
      <c r="O74" s="25">
        <v>271.08</v>
      </c>
      <c r="P74" s="25">
        <f>ROUND(((E74*6.01%)/365)*365,2)</f>
        <v>323.95999999999998</v>
      </c>
      <c r="Q74" s="25">
        <f>ROUND((E74*5.31%),2)</f>
        <v>286.23</v>
      </c>
      <c r="R74" s="25"/>
      <c r="S74" s="27">
        <f t="shared" si="1"/>
        <v>6337.7900000000009</v>
      </c>
      <c r="T74" s="28">
        <f>IF(H74-$T$1&gt;365,S74,0)</f>
        <v>0</v>
      </c>
      <c r="U74" s="28">
        <f>IF(H74-$T$1&lt;365,S74,0)</f>
        <v>6337.7900000000009</v>
      </c>
      <c r="V74" s="28">
        <f>IF(H74="",S74,0)</f>
        <v>0</v>
      </c>
      <c r="W74" s="37"/>
      <c r="X74" s="28"/>
      <c r="Y74" s="28"/>
      <c r="Z74" s="28"/>
      <c r="AA74" s="28">
        <f>S74-Z74-Y74-X74</f>
        <v>6337.7900000000009</v>
      </c>
      <c r="AB74" s="28">
        <f>IF(H74-$AB$1&gt;365,AA74,0)</f>
        <v>0</v>
      </c>
      <c r="AC74" s="28">
        <f>IF(H74-$AB$1&lt;=365,AA74,0)</f>
        <v>6337.7900000000009</v>
      </c>
      <c r="AD74" s="28">
        <f>IF(H74="",AA74,0)</f>
        <v>0</v>
      </c>
      <c r="AE74" s="28">
        <f>IF(AND(H74-$AB$1&gt;365,H74-$AB$1&lt;=730),AB74,0)</f>
        <v>0</v>
      </c>
      <c r="AF74" s="28">
        <f>IF(AND(H74-$AB$1&gt;730,H74-$AB$1&lt;=1095),AB74,0)</f>
        <v>0</v>
      </c>
      <c r="AG74" s="28">
        <f>IF(AND(H74-$AB$1&gt;1095,H74-$AB$1&lt;=1825),AB74,0)</f>
        <v>0</v>
      </c>
      <c r="AH74" s="28">
        <f>IF(H74-$AB$1&gt;1825,AB74,0)</f>
        <v>0</v>
      </c>
    </row>
    <row r="75" spans="1:36" ht="16.2" customHeight="1" x14ac:dyDescent="0.3">
      <c r="A75" s="130"/>
      <c r="B75" s="131"/>
      <c r="C75" s="117"/>
      <c r="D75" s="118" t="str">
        <f t="shared" si="43"/>
        <v/>
      </c>
      <c r="E75" s="31">
        <f>SUBTOTAL(9,E74:E74)</f>
        <v>5390.4</v>
      </c>
      <c r="F75" s="31"/>
      <c r="G75" s="119"/>
      <c r="H75" s="120"/>
      <c r="I75" s="115"/>
      <c r="J75" s="115"/>
      <c r="K75" s="115"/>
      <c r="L75" s="31">
        <f t="shared" ref="L75:Q75" si="50">SUBTOTAL(9,L74:L74)</f>
        <v>49.8700000000008</v>
      </c>
      <c r="M75" s="31">
        <f t="shared" si="50"/>
        <v>14.3</v>
      </c>
      <c r="N75" s="31">
        <f t="shared" si="50"/>
        <v>1.95</v>
      </c>
      <c r="O75" s="31">
        <f t="shared" si="50"/>
        <v>271.08</v>
      </c>
      <c r="P75" s="31">
        <f t="shared" si="50"/>
        <v>323.95999999999998</v>
      </c>
      <c r="Q75" s="31">
        <f t="shared" si="50"/>
        <v>286.23</v>
      </c>
      <c r="R75" s="31"/>
      <c r="S75" s="31">
        <f t="shared" si="1"/>
        <v>6337.7900000000009</v>
      </c>
      <c r="T75" s="31">
        <f>SUBTOTAL(9,T74:T74)</f>
        <v>0</v>
      </c>
      <c r="U75" s="31">
        <f>SUBTOTAL(9,U74:U74)</f>
        <v>6337.7900000000009</v>
      </c>
      <c r="V75" s="31">
        <f>SUBTOTAL(9,V74:V74)</f>
        <v>0</v>
      </c>
      <c r="W75" s="31"/>
      <c r="X75" s="31">
        <f t="shared" ref="X75:AH75" si="51">SUBTOTAL(9,X74:X74)</f>
        <v>0</v>
      </c>
      <c r="Y75" s="31">
        <f t="shared" si="51"/>
        <v>0</v>
      </c>
      <c r="Z75" s="31">
        <f t="shared" si="51"/>
        <v>0</v>
      </c>
      <c r="AA75" s="31">
        <f t="shared" si="51"/>
        <v>6337.7900000000009</v>
      </c>
      <c r="AB75" s="31">
        <f t="shared" si="51"/>
        <v>0</v>
      </c>
      <c r="AC75" s="31">
        <f t="shared" si="51"/>
        <v>6337.7900000000009</v>
      </c>
      <c r="AD75" s="31">
        <f t="shared" si="51"/>
        <v>0</v>
      </c>
      <c r="AE75" s="31">
        <f t="shared" si="51"/>
        <v>0</v>
      </c>
      <c r="AF75" s="31">
        <f t="shared" si="51"/>
        <v>0</v>
      </c>
      <c r="AG75" s="31">
        <f t="shared" si="51"/>
        <v>0</v>
      </c>
      <c r="AH75" s="31">
        <f t="shared" si="51"/>
        <v>0</v>
      </c>
      <c r="AJ75" s="12"/>
    </row>
    <row r="76" spans="1:36" ht="16.2" customHeight="1" x14ac:dyDescent="0.3">
      <c r="A76" s="6" t="s">
        <v>31</v>
      </c>
      <c r="B76" s="20">
        <v>1034349</v>
      </c>
      <c r="C76" s="83" t="s">
        <v>101</v>
      </c>
      <c r="D76" s="93" t="str">
        <f t="shared" si="43"/>
        <v/>
      </c>
      <c r="E76" s="22">
        <v>5442.96</v>
      </c>
      <c r="F76" s="22"/>
      <c r="G76" s="24">
        <v>43475</v>
      </c>
      <c r="H76" s="84">
        <v>46189</v>
      </c>
      <c r="I76" s="46">
        <v>0.3</v>
      </c>
      <c r="J76" s="46" t="s">
        <v>257</v>
      </c>
      <c r="K76" s="6" t="s">
        <v>194</v>
      </c>
      <c r="L76" s="25">
        <v>67.340000000000146</v>
      </c>
      <c r="M76" s="25">
        <v>14.93</v>
      </c>
      <c r="N76" s="25">
        <v>2.04</v>
      </c>
      <c r="O76" s="25">
        <v>273.72000000000003</v>
      </c>
      <c r="P76" s="25">
        <f>ROUND(((E76*6.01%)/365)*365,2)</f>
        <v>327.12</v>
      </c>
      <c r="Q76" s="25">
        <f>ROUND((E76*5.31%),2)</f>
        <v>289.02</v>
      </c>
      <c r="R76" s="25"/>
      <c r="S76" s="27">
        <f t="shared" si="1"/>
        <v>6417.130000000001</v>
      </c>
      <c r="T76" s="28">
        <f>IF(H76-$T$1&gt;365,S76,0)</f>
        <v>0</v>
      </c>
      <c r="U76" s="28">
        <f>IF(H76-$T$1&lt;365,S76,0)</f>
        <v>6417.130000000001</v>
      </c>
      <c r="V76" s="28">
        <f>IF(H76="",S76,0)</f>
        <v>0</v>
      </c>
      <c r="W76" s="8"/>
      <c r="X76" s="28"/>
      <c r="Y76" s="28"/>
      <c r="Z76" s="28"/>
      <c r="AA76" s="28">
        <f>S76-Z76-Y76-X76</f>
        <v>6417.130000000001</v>
      </c>
      <c r="AB76" s="28">
        <f>IF(H76-$AB$1&gt;365,AA76,0)</f>
        <v>0</v>
      </c>
      <c r="AC76" s="28">
        <f>IF(H76-$AB$1&lt;=365,AA76,0)</f>
        <v>6417.130000000001</v>
      </c>
      <c r="AD76" s="28">
        <f>IF(H76="",AA76,0)</f>
        <v>0</v>
      </c>
      <c r="AE76" s="28">
        <f>IF(AND(H76-$AB$1&gt;365,H76-$AB$1&lt;=730),AB76,0)</f>
        <v>0</v>
      </c>
      <c r="AF76" s="28">
        <f>IF(AND(H76-$AB$1&gt;730,H76-$AB$1&lt;=1095),AB76,0)</f>
        <v>0</v>
      </c>
      <c r="AG76" s="28">
        <f>IF(AND(H76-$AB$1&gt;1095,H76-$AB$1&lt;=1825),AB76,0)</f>
        <v>0</v>
      </c>
      <c r="AH76" s="28">
        <f>IF(H76-$AB$1&gt;1825,AB76,0)</f>
        <v>0</v>
      </c>
    </row>
    <row r="77" spans="1:36" ht="16.2" customHeight="1" x14ac:dyDescent="0.3">
      <c r="A77" s="115"/>
      <c r="B77" s="116"/>
      <c r="C77" s="117"/>
      <c r="D77" s="118" t="str">
        <f t="shared" si="43"/>
        <v/>
      </c>
      <c r="E77" s="31">
        <f>SUBTOTAL(9,E76:E76)</f>
        <v>5442.96</v>
      </c>
      <c r="F77" s="31"/>
      <c r="G77" s="119"/>
      <c r="H77" s="119"/>
      <c r="I77" s="137"/>
      <c r="J77" s="137"/>
      <c r="K77" s="137"/>
      <c r="L77" s="31">
        <f t="shared" ref="L77:Q77" si="52">SUBTOTAL(9,L76:L76)</f>
        <v>67.340000000000146</v>
      </c>
      <c r="M77" s="31">
        <f t="shared" si="52"/>
        <v>14.93</v>
      </c>
      <c r="N77" s="31">
        <f t="shared" si="52"/>
        <v>2.04</v>
      </c>
      <c r="O77" s="31">
        <f t="shared" si="52"/>
        <v>273.72000000000003</v>
      </c>
      <c r="P77" s="31">
        <f t="shared" si="52"/>
        <v>327.12</v>
      </c>
      <c r="Q77" s="31">
        <f t="shared" si="52"/>
        <v>289.02</v>
      </c>
      <c r="R77" s="31"/>
      <c r="S77" s="31">
        <f t="shared" ref="S77:S157" si="53">E77+L77+M77+N77+P77+O77+Q77+R77</f>
        <v>6417.130000000001</v>
      </c>
      <c r="T77" s="31">
        <f>SUBTOTAL(9,T76:T76)</f>
        <v>0</v>
      </c>
      <c r="U77" s="31">
        <f>SUBTOTAL(9,U76:U76)</f>
        <v>6417.130000000001</v>
      </c>
      <c r="V77" s="31">
        <f>SUBTOTAL(9,V76:V76)</f>
        <v>0</v>
      </c>
      <c r="W77" s="31"/>
      <c r="X77" s="31">
        <f t="shared" ref="X77:AH77" si="54">SUBTOTAL(9,X76:X76)</f>
        <v>0</v>
      </c>
      <c r="Y77" s="31">
        <f t="shared" si="54"/>
        <v>0</v>
      </c>
      <c r="Z77" s="31">
        <f t="shared" si="54"/>
        <v>0</v>
      </c>
      <c r="AA77" s="31">
        <f>SUBTOTAL(9,AA76:AA76)</f>
        <v>6417.130000000001</v>
      </c>
      <c r="AB77" s="31">
        <f t="shared" si="54"/>
        <v>0</v>
      </c>
      <c r="AC77" s="31">
        <f t="shared" si="54"/>
        <v>6417.130000000001</v>
      </c>
      <c r="AD77" s="31">
        <f t="shared" si="54"/>
        <v>0</v>
      </c>
      <c r="AE77" s="31">
        <f t="shared" si="54"/>
        <v>0</v>
      </c>
      <c r="AF77" s="31">
        <f t="shared" si="54"/>
        <v>0</v>
      </c>
      <c r="AG77" s="31">
        <f t="shared" si="54"/>
        <v>0</v>
      </c>
      <c r="AH77" s="31">
        <f t="shared" si="54"/>
        <v>0</v>
      </c>
      <c r="AJ77" s="12"/>
    </row>
    <row r="78" spans="1:36" ht="16.2" customHeight="1" x14ac:dyDescent="0.3">
      <c r="A78" s="90" t="s">
        <v>250</v>
      </c>
      <c r="B78" s="32">
        <v>1037962</v>
      </c>
      <c r="C78" s="83" t="s">
        <v>249</v>
      </c>
      <c r="D78" s="93" t="str">
        <f t="shared" si="43"/>
        <v/>
      </c>
      <c r="E78" s="22">
        <v>4620.4399999999996</v>
      </c>
      <c r="F78" s="22"/>
      <c r="G78" s="24">
        <v>45159</v>
      </c>
      <c r="H78" s="23">
        <v>46021</v>
      </c>
      <c r="I78" s="46">
        <v>0.3</v>
      </c>
      <c r="J78" s="46" t="s">
        <v>206</v>
      </c>
      <c r="K78" s="6" t="s">
        <v>195</v>
      </c>
      <c r="L78" s="53"/>
      <c r="M78" s="53"/>
      <c r="N78" s="53"/>
      <c r="O78" s="53"/>
      <c r="P78" s="53"/>
      <c r="Q78" s="53"/>
      <c r="R78" s="53"/>
      <c r="S78" s="27">
        <f t="shared" si="53"/>
        <v>4620.4399999999996</v>
      </c>
      <c r="T78" s="144"/>
      <c r="U78" s="144"/>
      <c r="V78" s="144"/>
      <c r="W78" s="22"/>
      <c r="X78" s="22"/>
      <c r="Y78" s="22"/>
      <c r="Z78" s="22"/>
      <c r="AA78" s="28">
        <f>S78-Z78-Y78-X78</f>
        <v>4620.4399999999996</v>
      </c>
      <c r="AB78" s="28">
        <f>IF(H78-$AB$1&gt;365,AA78,0)</f>
        <v>0</v>
      </c>
      <c r="AC78" s="28">
        <f>IF(H78-$AB$1&lt;=365,AA78,0)</f>
        <v>4620.4399999999996</v>
      </c>
      <c r="AD78" s="28">
        <f>IF(H78="",AA78,0)</f>
        <v>0</v>
      </c>
      <c r="AE78" s="28">
        <f>IF(AND(H78-$AB$1&gt;365,H78-$AB$1&lt;=730),AB78,0)</f>
        <v>0</v>
      </c>
      <c r="AF78" s="28">
        <f>IF(AND(H78-$AB$1&gt;730,H78-$AB$1&lt;=1095),AB78,0)</f>
        <v>0</v>
      </c>
      <c r="AG78" s="28">
        <f>IF(AND(H78-$AB$1&gt;1095,H78-$AB$1&lt;=1825),AB78,0)</f>
        <v>0</v>
      </c>
      <c r="AH78" s="28">
        <f>IF(H78-$AB$1&gt;1825,AB78,0)</f>
        <v>0</v>
      </c>
      <c r="AJ78" s="12"/>
    </row>
    <row r="79" spans="1:36" ht="16.2" customHeight="1" x14ac:dyDescent="0.3">
      <c r="A79" s="115"/>
      <c r="B79" s="116"/>
      <c r="C79" s="117"/>
      <c r="D79" s="118" t="str">
        <f>IF(W79&gt;0,"zwrócone","")</f>
        <v/>
      </c>
      <c r="E79" s="31">
        <f>SUBTOTAL(9,E78:E78)</f>
        <v>4620.4399999999996</v>
      </c>
      <c r="F79" s="31"/>
      <c r="G79" s="119"/>
      <c r="H79" s="120"/>
      <c r="I79" s="115"/>
      <c r="J79" s="115"/>
      <c r="K79" s="115"/>
      <c r="L79" s="31">
        <f t="shared" ref="L79:V79" si="55">SUBTOTAL(9,L78:L78)</f>
        <v>0</v>
      </c>
      <c r="M79" s="31">
        <f t="shared" si="55"/>
        <v>0</v>
      </c>
      <c r="N79" s="31">
        <f t="shared" si="55"/>
        <v>0</v>
      </c>
      <c r="O79" s="31">
        <f t="shared" si="55"/>
        <v>0</v>
      </c>
      <c r="P79" s="31">
        <f t="shared" si="55"/>
        <v>0</v>
      </c>
      <c r="Q79" s="31">
        <f t="shared" si="55"/>
        <v>0</v>
      </c>
      <c r="R79" s="31"/>
      <c r="S79" s="31">
        <f t="shared" si="53"/>
        <v>4620.4399999999996</v>
      </c>
      <c r="T79" s="31">
        <f t="shared" si="55"/>
        <v>0</v>
      </c>
      <c r="U79" s="31">
        <f t="shared" si="55"/>
        <v>0</v>
      </c>
      <c r="V79" s="31">
        <f t="shared" si="55"/>
        <v>0</v>
      </c>
      <c r="W79" s="31"/>
      <c r="X79" s="31">
        <f t="shared" ref="X79:AH79" si="56">SUBTOTAL(9,X78:X78)</f>
        <v>0</v>
      </c>
      <c r="Y79" s="31">
        <f t="shared" si="56"/>
        <v>0</v>
      </c>
      <c r="Z79" s="31">
        <f t="shared" si="56"/>
        <v>0</v>
      </c>
      <c r="AA79" s="31">
        <f t="shared" si="56"/>
        <v>4620.4399999999996</v>
      </c>
      <c r="AB79" s="31">
        <f t="shared" si="56"/>
        <v>0</v>
      </c>
      <c r="AC79" s="31">
        <f t="shared" si="56"/>
        <v>4620.4399999999996</v>
      </c>
      <c r="AD79" s="31">
        <f t="shared" si="56"/>
        <v>0</v>
      </c>
      <c r="AE79" s="31">
        <f t="shared" si="56"/>
        <v>0</v>
      </c>
      <c r="AF79" s="31">
        <f t="shared" si="56"/>
        <v>0</v>
      </c>
      <c r="AG79" s="31">
        <f t="shared" si="56"/>
        <v>0</v>
      </c>
      <c r="AH79" s="31">
        <f t="shared" si="56"/>
        <v>0</v>
      </c>
      <c r="AJ79" s="12"/>
    </row>
    <row r="80" spans="1:36" ht="16.2" customHeight="1" x14ac:dyDescent="0.3">
      <c r="A80" s="90" t="s">
        <v>143</v>
      </c>
      <c r="B80" s="32">
        <v>1038034</v>
      </c>
      <c r="C80" s="83" t="s">
        <v>144</v>
      </c>
      <c r="D80" s="93" t="str">
        <f>IF(W80&gt;0,"zwrócone","")</f>
        <v/>
      </c>
      <c r="E80" s="22">
        <v>496.14</v>
      </c>
      <c r="F80" s="22"/>
      <c r="G80" s="24">
        <v>44666</v>
      </c>
      <c r="H80" s="23">
        <v>46189</v>
      </c>
      <c r="I80" s="46">
        <v>0.3</v>
      </c>
      <c r="J80" s="46" t="s">
        <v>257</v>
      </c>
      <c r="K80" s="6" t="s">
        <v>194</v>
      </c>
      <c r="L80" s="25"/>
      <c r="M80" s="25"/>
      <c r="N80" s="25"/>
      <c r="O80" s="25">
        <v>20.75</v>
      </c>
      <c r="P80" s="25">
        <f>ROUND(((E80*6.01%)/365)*365,2)</f>
        <v>29.82</v>
      </c>
      <c r="Q80" s="25">
        <f>ROUND((E80*5.31%),2)</f>
        <v>26.35</v>
      </c>
      <c r="R80" s="25"/>
      <c r="S80" s="27">
        <f t="shared" si="53"/>
        <v>573.06000000000006</v>
      </c>
      <c r="T80" s="28">
        <f>IF(H80-$T$1&gt;365,S80,0)</f>
        <v>0</v>
      </c>
      <c r="U80" s="28">
        <f>IF(H80-$T$1&lt;365,S80,0)</f>
        <v>573.06000000000006</v>
      </c>
      <c r="V80" s="28">
        <f>IF(H80="",S80,0)</f>
        <v>0</v>
      </c>
      <c r="W80" s="8"/>
      <c r="X80" s="28"/>
      <c r="Y80" s="28"/>
      <c r="Z80" s="28"/>
      <c r="AA80" s="28">
        <f>S80-Z80-Y80-X80</f>
        <v>573.06000000000006</v>
      </c>
      <c r="AB80" s="28">
        <f>IF(H80-$AB$1&gt;365,AA80,0)</f>
        <v>0</v>
      </c>
      <c r="AC80" s="28">
        <f>IF(H80-$AB$1&lt;=365,AA80,0)</f>
        <v>573.06000000000006</v>
      </c>
      <c r="AD80" s="28">
        <f>IF(H80="",AA80,0)</f>
        <v>0</v>
      </c>
      <c r="AE80" s="28">
        <f>IF(AND(H80-$AB$1&gt;365,H80-$AB$1&lt;=730),AB80,0)</f>
        <v>0</v>
      </c>
      <c r="AF80" s="28">
        <f>IF(AND(H80-$AB$1&gt;730,H80-$AB$1&lt;=1095),AB80,0)</f>
        <v>0</v>
      </c>
      <c r="AG80" s="28">
        <f>IF(AND(H80-$AB$1&gt;1095,H80-$AB$1&lt;=1825),AB80,0)</f>
        <v>0</v>
      </c>
      <c r="AH80" s="28">
        <f>IF(H80-$AB$1&gt;1825,AB80,0)</f>
        <v>0</v>
      </c>
    </row>
    <row r="81" spans="1:36" ht="16.2" customHeight="1" x14ac:dyDescent="0.3">
      <c r="A81" s="130"/>
      <c r="B81" s="131"/>
      <c r="C81" s="117"/>
      <c r="D81" s="118" t="str">
        <f>IF(W81&gt;0,"zwrócone","")</f>
        <v/>
      </c>
      <c r="E81" s="31">
        <f>SUBTOTAL(9,E80:E80)</f>
        <v>496.14</v>
      </c>
      <c r="F81" s="31"/>
      <c r="G81" s="119"/>
      <c r="H81" s="120"/>
      <c r="I81" s="115"/>
      <c r="J81" s="115"/>
      <c r="K81" s="115"/>
      <c r="L81" s="31">
        <f t="shared" ref="L81:Q81" si="57">SUBTOTAL(9,L80:L80)</f>
        <v>0</v>
      </c>
      <c r="M81" s="31">
        <f t="shared" si="57"/>
        <v>0</v>
      </c>
      <c r="N81" s="31">
        <f t="shared" si="57"/>
        <v>0</v>
      </c>
      <c r="O81" s="31">
        <f t="shared" si="57"/>
        <v>20.75</v>
      </c>
      <c r="P81" s="31">
        <f t="shared" si="57"/>
        <v>29.82</v>
      </c>
      <c r="Q81" s="31">
        <f t="shared" si="57"/>
        <v>26.35</v>
      </c>
      <c r="R81" s="31"/>
      <c r="S81" s="31">
        <f t="shared" si="53"/>
        <v>573.06000000000006</v>
      </c>
      <c r="T81" s="31">
        <f>SUBTOTAL(9,T80:T80)</f>
        <v>0</v>
      </c>
      <c r="U81" s="31">
        <f>SUBTOTAL(9,U80:U80)</f>
        <v>573.06000000000006</v>
      </c>
      <c r="V81" s="31">
        <f>SUBTOTAL(9,V80:V80)</f>
        <v>0</v>
      </c>
      <c r="W81" s="31"/>
      <c r="X81" s="31">
        <f t="shared" ref="X81:AH81" si="58">SUBTOTAL(9,X80:X80)</f>
        <v>0</v>
      </c>
      <c r="Y81" s="31">
        <f t="shared" si="58"/>
        <v>0</v>
      </c>
      <c r="Z81" s="31">
        <f t="shared" si="58"/>
        <v>0</v>
      </c>
      <c r="AA81" s="31">
        <f t="shared" si="58"/>
        <v>573.06000000000006</v>
      </c>
      <c r="AB81" s="31">
        <f t="shared" si="58"/>
        <v>0</v>
      </c>
      <c r="AC81" s="31">
        <f t="shared" si="58"/>
        <v>573.06000000000006</v>
      </c>
      <c r="AD81" s="31">
        <f t="shared" si="58"/>
        <v>0</v>
      </c>
      <c r="AE81" s="31">
        <f t="shared" si="58"/>
        <v>0</v>
      </c>
      <c r="AF81" s="31">
        <f t="shared" si="58"/>
        <v>0</v>
      </c>
      <c r="AG81" s="31">
        <f t="shared" si="58"/>
        <v>0</v>
      </c>
      <c r="AH81" s="31">
        <f t="shared" si="58"/>
        <v>0</v>
      </c>
      <c r="AJ81" s="12"/>
    </row>
    <row r="82" spans="1:36" ht="16.2" customHeight="1" x14ac:dyDescent="0.3">
      <c r="A82" s="85" t="s">
        <v>88</v>
      </c>
      <c r="B82" s="183">
        <v>1038304</v>
      </c>
      <c r="C82" s="157" t="s">
        <v>89</v>
      </c>
      <c r="D82" s="158" t="str">
        <f>IF(W82&gt;0,"zwrócone","")</f>
        <v>zwrócone</v>
      </c>
      <c r="E82" s="159">
        <v>5943</v>
      </c>
      <c r="F82" s="159"/>
      <c r="G82" s="160">
        <v>44204</v>
      </c>
      <c r="H82" s="84">
        <v>45868</v>
      </c>
      <c r="I82" s="149" t="s">
        <v>99</v>
      </c>
      <c r="J82" s="46" t="s">
        <v>206</v>
      </c>
      <c r="K82" s="6" t="s">
        <v>197</v>
      </c>
      <c r="L82" s="53"/>
      <c r="M82" s="53"/>
      <c r="N82" s="53"/>
      <c r="O82" s="25"/>
      <c r="P82" s="25"/>
      <c r="Q82" s="25"/>
      <c r="R82" s="25"/>
      <c r="S82" s="27">
        <f t="shared" si="53"/>
        <v>5943</v>
      </c>
      <c r="T82" s="28">
        <f>IF(H82-$T$1&gt;365,S82,0)</f>
        <v>0</v>
      </c>
      <c r="U82" s="28">
        <f>IF(H82-$T$1&lt;365,S82,0)</f>
        <v>5943</v>
      </c>
      <c r="V82" s="28">
        <f>IF(H82="",S82,0)</f>
        <v>0</v>
      </c>
      <c r="W82" s="37">
        <v>45889</v>
      </c>
      <c r="X82" s="22"/>
      <c r="Y82" s="22"/>
      <c r="Z82" s="22">
        <v>5943</v>
      </c>
      <c r="AA82" s="28">
        <f>S82-Z82-Y82-X82</f>
        <v>0</v>
      </c>
      <c r="AB82" s="28">
        <f>IF(H82-$AB$1&gt;365,AA82,0)</f>
        <v>0</v>
      </c>
      <c r="AC82" s="28">
        <f>IF(H82-$AB$1&lt;=365,AA82,0)</f>
        <v>0</v>
      </c>
      <c r="AD82" s="28">
        <f>IF(H82="",AA82,0)</f>
        <v>0</v>
      </c>
      <c r="AE82" s="28">
        <f>IF(AND(H82-$AB$1&gt;365,H82-$AB$1&lt;=730),AB82,0)</f>
        <v>0</v>
      </c>
      <c r="AF82" s="28">
        <f>IF(AND(H82-$AB$1&gt;730,H82-$AB$1&lt;=1095),AB82,0)</f>
        <v>0</v>
      </c>
      <c r="AG82" s="28">
        <f>IF(AND(H82-$AB$1&gt;1095,H82-$AB$1&lt;=1825),AB82,0)</f>
        <v>0</v>
      </c>
      <c r="AH82" s="28">
        <f>IF(H82-$AB$1&gt;1825,AB82,0)</f>
        <v>0</v>
      </c>
    </row>
    <row r="83" spans="1:36" ht="16.2" customHeight="1" x14ac:dyDescent="0.3">
      <c r="A83" s="115"/>
      <c r="B83" s="116"/>
      <c r="C83" s="117"/>
      <c r="D83" s="118" t="str">
        <f>IF(W83&gt;0,"zwrócone","")</f>
        <v/>
      </c>
      <c r="E83" s="31">
        <f>SUBTOTAL(9,E82:E82)</f>
        <v>5943</v>
      </c>
      <c r="F83" s="31"/>
      <c r="G83" s="132"/>
      <c r="H83" s="120"/>
      <c r="I83" s="115"/>
      <c r="J83" s="115"/>
      <c r="K83" s="115"/>
      <c r="L83" s="31">
        <f t="shared" ref="L83:Q83" si="59">SUBTOTAL(9,L82:L82)</f>
        <v>0</v>
      </c>
      <c r="M83" s="31">
        <f t="shared" si="59"/>
        <v>0</v>
      </c>
      <c r="N83" s="31">
        <f t="shared" si="59"/>
        <v>0</v>
      </c>
      <c r="O83" s="31">
        <f t="shared" si="59"/>
        <v>0</v>
      </c>
      <c r="P83" s="31">
        <f t="shared" si="59"/>
        <v>0</v>
      </c>
      <c r="Q83" s="31">
        <f t="shared" si="59"/>
        <v>0</v>
      </c>
      <c r="R83" s="31"/>
      <c r="S83" s="31">
        <f t="shared" si="53"/>
        <v>5943</v>
      </c>
      <c r="T83" s="31">
        <f>SUBTOTAL(9,T82:T82)</f>
        <v>0</v>
      </c>
      <c r="U83" s="31">
        <f>SUBTOTAL(9,U82:U82)</f>
        <v>5943</v>
      </c>
      <c r="V83" s="31">
        <f>SUBTOTAL(9,V82:V82)</f>
        <v>0</v>
      </c>
      <c r="W83" s="31"/>
      <c r="X83" s="31">
        <f>SUBTOTAL(9,X82:X82)</f>
        <v>0</v>
      </c>
      <c r="Y83" s="31">
        <f>SUBTOTAL(9,Y82:Y82)</f>
        <v>0</v>
      </c>
      <c r="Z83" s="31">
        <f>SUBTOTAL(9,Z82:Z82)</f>
        <v>5943</v>
      </c>
      <c r="AA83" s="31">
        <f>SUBTOTAL(9,AA82:AA82)</f>
        <v>0</v>
      </c>
      <c r="AB83" s="31">
        <f t="shared" ref="AB83:AH83" si="60">SUBTOTAL(9,AB82:AB82)</f>
        <v>0</v>
      </c>
      <c r="AC83" s="31">
        <f t="shared" si="60"/>
        <v>0</v>
      </c>
      <c r="AD83" s="31">
        <f t="shared" si="60"/>
        <v>0</v>
      </c>
      <c r="AE83" s="31">
        <f t="shared" si="60"/>
        <v>0</v>
      </c>
      <c r="AF83" s="31">
        <f t="shared" si="60"/>
        <v>0</v>
      </c>
      <c r="AG83" s="31">
        <f t="shared" si="60"/>
        <v>0</v>
      </c>
      <c r="AH83" s="31">
        <f t="shared" si="60"/>
        <v>0</v>
      </c>
      <c r="AJ83" s="12"/>
    </row>
    <row r="84" spans="1:36" ht="16.2" customHeight="1" x14ac:dyDescent="0.3">
      <c r="A84" s="161" t="s">
        <v>150</v>
      </c>
      <c r="B84" s="162">
        <v>1040660</v>
      </c>
      <c r="C84" s="157" t="s">
        <v>151</v>
      </c>
      <c r="D84" s="158" t="str">
        <f t="shared" si="43"/>
        <v>zwrócone</v>
      </c>
      <c r="E84" s="159">
        <v>966.64</v>
      </c>
      <c r="F84" s="159"/>
      <c r="G84" s="160">
        <v>44896</v>
      </c>
      <c r="H84" s="84">
        <v>45671</v>
      </c>
      <c r="I84" s="46">
        <v>0.3</v>
      </c>
      <c r="J84" s="46" t="s">
        <v>206</v>
      </c>
      <c r="K84" s="46" t="s">
        <v>203</v>
      </c>
      <c r="L84" s="25"/>
      <c r="M84" s="25"/>
      <c r="N84" s="25"/>
      <c r="O84" s="25"/>
      <c r="P84" s="25"/>
      <c r="Q84" s="25"/>
      <c r="R84" s="25"/>
      <c r="S84" s="27">
        <f t="shared" si="53"/>
        <v>966.64</v>
      </c>
      <c r="T84" s="28">
        <f>IF(H84-$T$1&gt;365,S84,0)</f>
        <v>0</v>
      </c>
      <c r="U84" s="28">
        <f>IF(H84-$T$1&lt;365,S84,0)</f>
        <v>966.64</v>
      </c>
      <c r="V84" s="28">
        <f>IF(H84="",S84,0)</f>
        <v>0</v>
      </c>
      <c r="W84" s="37">
        <v>45729</v>
      </c>
      <c r="X84" s="28"/>
      <c r="Y84" s="28"/>
      <c r="Z84" s="28">
        <v>966.64</v>
      </c>
      <c r="AA84" s="28">
        <f>S84-Z84-Y84-X84</f>
        <v>0</v>
      </c>
      <c r="AB84" s="28">
        <f>IF(H84-$AB$1&gt;365,AA84,0)</f>
        <v>0</v>
      </c>
      <c r="AC84" s="28">
        <f>IF(H84-$AB$1&lt;=365,AA84,0)</f>
        <v>0</v>
      </c>
      <c r="AD84" s="28">
        <f>IF(H84="",AA84,0)</f>
        <v>0</v>
      </c>
      <c r="AE84" s="28">
        <f>IF(AND(H84-$AB$1&gt;365,H84-$AB$1&lt;=730),AB84,0)</f>
        <v>0</v>
      </c>
      <c r="AF84" s="28">
        <f>IF(AND(H84-$AB$1&gt;730,H84-$AB$1&lt;=1095),AB84,0)</f>
        <v>0</v>
      </c>
      <c r="AG84" s="28">
        <f>IF(AND(H84-$AB$1&gt;1095,H84-$AB$1&lt;=1825),AB84,0)</f>
        <v>0</v>
      </c>
      <c r="AH84" s="28">
        <f>IF(H84-$AB$1&gt;1825,AB84,0)</f>
        <v>0</v>
      </c>
    </row>
    <row r="85" spans="1:36" ht="16.2" customHeight="1" x14ac:dyDescent="0.3">
      <c r="A85" s="130"/>
      <c r="B85" s="131"/>
      <c r="C85" s="117"/>
      <c r="D85" s="118" t="str">
        <f t="shared" si="43"/>
        <v/>
      </c>
      <c r="E85" s="31">
        <f>SUBTOTAL(9,E84:E84)</f>
        <v>966.64</v>
      </c>
      <c r="F85" s="31"/>
      <c r="G85" s="119"/>
      <c r="H85" s="120"/>
      <c r="I85" s="115"/>
      <c r="J85" s="115"/>
      <c r="K85" s="115"/>
      <c r="L85" s="31">
        <f t="shared" ref="L85:Q85" si="61">SUBTOTAL(9,L84:L84)</f>
        <v>0</v>
      </c>
      <c r="M85" s="31">
        <f t="shared" si="61"/>
        <v>0</v>
      </c>
      <c r="N85" s="31">
        <f t="shared" si="61"/>
        <v>0</v>
      </c>
      <c r="O85" s="31">
        <f t="shared" si="61"/>
        <v>0</v>
      </c>
      <c r="P85" s="31">
        <f t="shared" si="61"/>
        <v>0</v>
      </c>
      <c r="Q85" s="31">
        <f t="shared" si="61"/>
        <v>0</v>
      </c>
      <c r="R85" s="31"/>
      <c r="S85" s="31">
        <f t="shared" si="53"/>
        <v>966.64</v>
      </c>
      <c r="T85" s="31">
        <f>SUBTOTAL(9,T84:T84)</f>
        <v>0</v>
      </c>
      <c r="U85" s="31">
        <f>SUBTOTAL(9,U84:U84)</f>
        <v>966.64</v>
      </c>
      <c r="V85" s="31">
        <f>SUBTOTAL(9,V84:V84)</f>
        <v>0</v>
      </c>
      <c r="W85" s="31"/>
      <c r="X85" s="31">
        <f t="shared" ref="X85:AH85" si="62">SUBTOTAL(9,X84:X84)</f>
        <v>0</v>
      </c>
      <c r="Y85" s="31">
        <f t="shared" si="62"/>
        <v>0</v>
      </c>
      <c r="Z85" s="31">
        <f t="shared" si="62"/>
        <v>966.64</v>
      </c>
      <c r="AA85" s="31">
        <f>SUBTOTAL(9,AA84:AA84)</f>
        <v>0</v>
      </c>
      <c r="AB85" s="31">
        <f t="shared" si="62"/>
        <v>0</v>
      </c>
      <c r="AC85" s="31">
        <f t="shared" si="62"/>
        <v>0</v>
      </c>
      <c r="AD85" s="31">
        <f t="shared" si="62"/>
        <v>0</v>
      </c>
      <c r="AE85" s="31">
        <f t="shared" si="62"/>
        <v>0</v>
      </c>
      <c r="AF85" s="31">
        <f t="shared" si="62"/>
        <v>0</v>
      </c>
      <c r="AG85" s="31">
        <f t="shared" si="62"/>
        <v>0</v>
      </c>
      <c r="AH85" s="31">
        <f t="shared" si="62"/>
        <v>0</v>
      </c>
      <c r="AJ85" s="12"/>
    </row>
    <row r="86" spans="1:36" ht="16.2" customHeight="1" x14ac:dyDescent="0.3">
      <c r="A86" s="6" t="s">
        <v>32</v>
      </c>
      <c r="B86" s="20">
        <v>1040667</v>
      </c>
      <c r="C86" s="83" t="s">
        <v>266</v>
      </c>
      <c r="D86" s="93" t="str">
        <f t="shared" si="43"/>
        <v/>
      </c>
      <c r="E86" s="22">
        <v>1560</v>
      </c>
      <c r="F86" s="22" t="s">
        <v>158</v>
      </c>
      <c r="G86" s="24">
        <v>45266</v>
      </c>
      <c r="H86" s="23">
        <v>46293</v>
      </c>
      <c r="I86" s="46">
        <v>0.3</v>
      </c>
      <c r="J86" s="46" t="s">
        <v>206</v>
      </c>
      <c r="K86" s="6" t="s">
        <v>203</v>
      </c>
      <c r="L86" s="25"/>
      <c r="M86" s="25"/>
      <c r="N86" s="25"/>
      <c r="O86" s="25"/>
      <c r="P86" s="25"/>
      <c r="Q86" s="25"/>
      <c r="R86" s="25"/>
      <c r="S86" s="27">
        <f t="shared" si="53"/>
        <v>1560</v>
      </c>
      <c r="T86" s="28"/>
      <c r="U86" s="28"/>
      <c r="V86" s="28"/>
      <c r="W86" s="8"/>
      <c r="X86" s="28"/>
      <c r="Y86" s="28"/>
      <c r="Z86" s="28"/>
      <c r="AA86" s="28">
        <f>S86-Z86-Y86-X86</f>
        <v>1560</v>
      </c>
      <c r="AB86" s="28">
        <f>IF(H86-$AB$1&gt;365,AA86,0)</f>
        <v>0</v>
      </c>
      <c r="AC86" s="28">
        <f>IF(H86-$AB$1&lt;=365,AA86,0)</f>
        <v>1560</v>
      </c>
      <c r="AD86" s="28">
        <f>IF(H86="",AA86,0)</f>
        <v>0</v>
      </c>
      <c r="AE86" s="28">
        <f>IF(AND(H86-$AB$1&gt;365,H86-$AB$1&lt;=730),AB86,0)</f>
        <v>0</v>
      </c>
      <c r="AF86" s="28">
        <f>IF(AND(H86-$AB$1&gt;730,H86-$AB$1&lt;=1095),AB86,0)</f>
        <v>0</v>
      </c>
      <c r="AG86" s="28">
        <f>IF(AND(H86-$AB$1&gt;1095,H86-$AB$1&lt;=1825),AB86,0)</f>
        <v>0</v>
      </c>
      <c r="AH86" s="28">
        <f>IF(H86-$AB$1&gt;1825,AB86,0)</f>
        <v>0</v>
      </c>
      <c r="AJ86" s="12"/>
    </row>
    <row r="87" spans="1:36" ht="16.2" customHeight="1" x14ac:dyDescent="0.3">
      <c r="A87" s="6" t="s">
        <v>32</v>
      </c>
      <c r="B87" s="20">
        <v>1040667</v>
      </c>
      <c r="C87" s="83" t="s">
        <v>391</v>
      </c>
      <c r="D87" s="93" t="str">
        <f t="shared" si="43"/>
        <v/>
      </c>
      <c r="E87" s="22">
        <v>3049.2</v>
      </c>
      <c r="F87" s="22" t="s">
        <v>158</v>
      </c>
      <c r="G87" s="24">
        <v>45362</v>
      </c>
      <c r="H87" s="23">
        <v>46037</v>
      </c>
      <c r="I87" s="46">
        <v>0.3</v>
      </c>
      <c r="J87" s="46" t="s">
        <v>206</v>
      </c>
      <c r="K87" s="6" t="s">
        <v>203</v>
      </c>
      <c r="L87" s="25"/>
      <c r="M87" s="25"/>
      <c r="N87" s="25"/>
      <c r="O87" s="25"/>
      <c r="P87" s="25"/>
      <c r="Q87" s="25"/>
      <c r="R87" s="25"/>
      <c r="S87" s="27">
        <f t="shared" si="53"/>
        <v>3049.2</v>
      </c>
      <c r="T87" s="28"/>
      <c r="U87" s="28"/>
      <c r="V87" s="28"/>
      <c r="W87" s="8"/>
      <c r="X87" s="28"/>
      <c r="Y87" s="28"/>
      <c r="Z87" s="28"/>
      <c r="AA87" s="28">
        <f>S87-Z87-Y87-X87</f>
        <v>3049.2</v>
      </c>
      <c r="AB87" s="28">
        <f>IF(H87-$AB$1&gt;365,AA87,0)</f>
        <v>0</v>
      </c>
      <c r="AC87" s="28">
        <f>IF(H87-$AB$1&lt;=365,AA87,0)</f>
        <v>3049.2</v>
      </c>
      <c r="AD87" s="28">
        <f>IF(H87="",AA87,0)</f>
        <v>0</v>
      </c>
      <c r="AE87" s="28">
        <f>IF(AND(H87-$AB$1&gt;365,H87-$AB$1&lt;=730),AB87,0)</f>
        <v>0</v>
      </c>
      <c r="AF87" s="28">
        <f>IF(AND(H87-$AB$1&gt;730,H87-$AB$1&lt;=1095),AB87,0)</f>
        <v>0</v>
      </c>
      <c r="AG87" s="28">
        <f>IF(AND(H87-$AB$1&gt;1095,H87-$AB$1&lt;=1825),AB87,0)</f>
        <v>0</v>
      </c>
      <c r="AH87" s="28">
        <f>IF(H87-$AB$1&gt;1825,AB87,0)</f>
        <v>0</v>
      </c>
      <c r="AJ87" s="12"/>
    </row>
    <row r="88" spans="1:36" ht="16.2" customHeight="1" x14ac:dyDescent="0.3">
      <c r="A88" s="6" t="s">
        <v>32</v>
      </c>
      <c r="B88" s="20">
        <v>1040667</v>
      </c>
      <c r="C88" s="83" t="s">
        <v>315</v>
      </c>
      <c r="D88" s="93" t="str">
        <f t="shared" si="43"/>
        <v/>
      </c>
      <c r="E88" s="22">
        <v>8343.2999999999993</v>
      </c>
      <c r="F88" s="22" t="s">
        <v>158</v>
      </c>
      <c r="G88" s="24">
        <v>45506</v>
      </c>
      <c r="H88" s="23">
        <v>46109</v>
      </c>
      <c r="I88" s="46">
        <v>0.7</v>
      </c>
      <c r="J88" s="46" t="s">
        <v>206</v>
      </c>
      <c r="K88" s="6" t="s">
        <v>203</v>
      </c>
      <c r="L88" s="25"/>
      <c r="M88" s="25"/>
      <c r="N88" s="25"/>
      <c r="O88" s="25"/>
      <c r="P88" s="25"/>
      <c r="Q88" s="25"/>
      <c r="R88" s="25"/>
      <c r="S88" s="27">
        <f t="shared" si="53"/>
        <v>8343.2999999999993</v>
      </c>
      <c r="T88" s="28"/>
      <c r="U88" s="28"/>
      <c r="V88" s="28"/>
      <c r="W88" s="8"/>
      <c r="X88" s="28"/>
      <c r="Y88" s="28"/>
      <c r="Z88" s="28"/>
      <c r="AA88" s="28">
        <f>S88-Z88-Y88-X88</f>
        <v>8343.2999999999993</v>
      </c>
      <c r="AB88" s="28">
        <f>IF(H88-$AB$1&gt;365,AA88,0)</f>
        <v>0</v>
      </c>
      <c r="AC88" s="28">
        <f>IF(H88-$AB$1&lt;=365,AA88,0)</f>
        <v>8343.2999999999993</v>
      </c>
      <c r="AD88" s="28">
        <f>IF(H88="",AA88,0)</f>
        <v>0</v>
      </c>
      <c r="AE88" s="28">
        <f>IF(AND(H88-$AB$1&gt;365,H88-$AB$1&lt;=730),AB88,0)</f>
        <v>0</v>
      </c>
      <c r="AF88" s="28">
        <f>IF(AND(H88-$AB$1&gt;730,H88-$AB$1&lt;=1095),AB88,0)</f>
        <v>0</v>
      </c>
      <c r="AG88" s="28">
        <f>IF(AND(H88-$AB$1&gt;1095,H88-$AB$1&lt;=1825),AB88,0)</f>
        <v>0</v>
      </c>
      <c r="AH88" s="28">
        <f>IF(H88-$AB$1&gt;1825,AB88,0)</f>
        <v>0</v>
      </c>
      <c r="AJ88" s="12"/>
    </row>
    <row r="89" spans="1:36" ht="16.2" customHeight="1" x14ac:dyDescent="0.3">
      <c r="A89" s="6" t="s">
        <v>32</v>
      </c>
      <c r="B89" s="20">
        <v>1040667</v>
      </c>
      <c r="C89" s="83" t="s">
        <v>315</v>
      </c>
      <c r="D89" s="93" t="str">
        <f>IF(W89&gt;0,"zwrócone","")</f>
        <v/>
      </c>
      <c r="E89" s="22">
        <v>3575.7</v>
      </c>
      <c r="F89" s="22" t="s">
        <v>158</v>
      </c>
      <c r="G89" s="24">
        <v>45506</v>
      </c>
      <c r="H89" s="23">
        <v>46827</v>
      </c>
      <c r="I89" s="46">
        <v>0.3</v>
      </c>
      <c r="J89" s="46" t="s">
        <v>206</v>
      </c>
      <c r="K89" s="6" t="s">
        <v>203</v>
      </c>
      <c r="L89" s="25"/>
      <c r="M89" s="25"/>
      <c r="N89" s="25"/>
      <c r="O89" s="25"/>
      <c r="P89" s="25"/>
      <c r="Q89" s="25"/>
      <c r="R89" s="25"/>
      <c r="S89" s="27">
        <f t="shared" si="53"/>
        <v>3575.7</v>
      </c>
      <c r="T89" s="28"/>
      <c r="U89" s="28"/>
      <c r="V89" s="28"/>
      <c r="W89" s="8"/>
      <c r="X89" s="28"/>
      <c r="Y89" s="28"/>
      <c r="Z89" s="28"/>
      <c r="AA89" s="28">
        <f>S89-Z89-Y89-X89</f>
        <v>3575.7</v>
      </c>
      <c r="AB89" s="28">
        <f>IF(H89-$AB$1&gt;365,AA89,0)</f>
        <v>3575.7</v>
      </c>
      <c r="AC89" s="28">
        <f>IF(H89-$AB$1&lt;=365,AA89,0)</f>
        <v>0</v>
      </c>
      <c r="AD89" s="28">
        <f>IF(H89="",AA89,0)</f>
        <v>0</v>
      </c>
      <c r="AE89" s="28">
        <f>IF(AND(H89-$AB$1&gt;365,H89-$AB$1&lt;=730),AB89,0)</f>
        <v>0</v>
      </c>
      <c r="AF89" s="28">
        <f>IF(AND(H89-$AB$1&gt;730,H89-$AB$1&lt;=1095),AB89,0)</f>
        <v>3575.7</v>
      </c>
      <c r="AG89" s="28">
        <f>IF(AND(H89-$AB$1&gt;1095,H89-$AB$1&lt;=1825),AB89,0)</f>
        <v>0</v>
      </c>
      <c r="AH89" s="28">
        <f>IF(H89-$AB$1&gt;1825,AB89,0)</f>
        <v>0</v>
      </c>
      <c r="AJ89" s="12"/>
    </row>
    <row r="90" spans="1:36" ht="16.2" customHeight="1" x14ac:dyDescent="0.3">
      <c r="A90" s="6" t="s">
        <v>32</v>
      </c>
      <c r="B90" s="20">
        <v>1040667</v>
      </c>
      <c r="C90" s="83" t="s">
        <v>290</v>
      </c>
      <c r="D90" s="93" t="str">
        <f t="shared" si="43"/>
        <v/>
      </c>
      <c r="E90" s="22">
        <v>4629.9399999999996</v>
      </c>
      <c r="F90" s="22" t="s">
        <v>158</v>
      </c>
      <c r="G90" s="24">
        <v>45313</v>
      </c>
      <c r="H90" s="23">
        <v>46440</v>
      </c>
      <c r="I90" s="46">
        <v>0.3</v>
      </c>
      <c r="J90" s="46" t="s">
        <v>206</v>
      </c>
      <c r="K90" s="6" t="s">
        <v>203</v>
      </c>
      <c r="L90" s="25"/>
      <c r="M90" s="25"/>
      <c r="N90" s="25"/>
      <c r="O90" s="25"/>
      <c r="P90" s="25"/>
      <c r="Q90" s="25"/>
      <c r="R90" s="25"/>
      <c r="S90" s="27">
        <f t="shared" si="53"/>
        <v>4629.9399999999996</v>
      </c>
      <c r="T90" s="28"/>
      <c r="U90" s="28"/>
      <c r="V90" s="28"/>
      <c r="W90" s="8"/>
      <c r="X90" s="28"/>
      <c r="Y90" s="28"/>
      <c r="Z90" s="28"/>
      <c r="AA90" s="28">
        <f>S90-Z90-Y90-X90</f>
        <v>4629.9399999999996</v>
      </c>
      <c r="AB90" s="28">
        <f>IF(H90-$AB$1&gt;365,AA90,0)</f>
        <v>4629.9399999999996</v>
      </c>
      <c r="AC90" s="28">
        <f>IF(H90-$AB$1&lt;=365,AA90,0)</f>
        <v>0</v>
      </c>
      <c r="AD90" s="28">
        <f>IF(H90="",AA90,0)</f>
        <v>0</v>
      </c>
      <c r="AE90" s="28">
        <f>IF(AND(H90-$AB$1&gt;365,H90-$AB$1&lt;=730),AB90,0)</f>
        <v>4629.9399999999996</v>
      </c>
      <c r="AF90" s="28">
        <f>IF(AND(H90-$AB$1&gt;730,H90-$AB$1&lt;=1095),AB90,0)</f>
        <v>0</v>
      </c>
      <c r="AG90" s="28">
        <f>IF(AND(H90-$AB$1&gt;1095,H90-$AB$1&lt;=1825),AB90,0)</f>
        <v>0</v>
      </c>
      <c r="AH90" s="28">
        <f>IF(H90-$AB$1&gt;1825,AB90,0)</f>
        <v>0</v>
      </c>
      <c r="AJ90" s="12"/>
    </row>
    <row r="91" spans="1:36" ht="16.2" customHeight="1" x14ac:dyDescent="0.3">
      <c r="A91" s="115"/>
      <c r="B91" s="116"/>
      <c r="C91" s="117"/>
      <c r="D91" s="118" t="str">
        <f t="shared" si="43"/>
        <v/>
      </c>
      <c r="E91" s="31">
        <f>SUBTOTAL(9,E86:E90)</f>
        <v>21158.14</v>
      </c>
      <c r="F91" s="31"/>
      <c r="G91" s="119"/>
      <c r="H91" s="120"/>
      <c r="I91" s="115"/>
      <c r="J91" s="115"/>
      <c r="K91" s="115"/>
      <c r="L91" s="31">
        <f t="shared" ref="L91:V91" si="63">SUBTOTAL(9,L86:L90)</f>
        <v>0</v>
      </c>
      <c r="M91" s="31">
        <f t="shared" si="63"/>
        <v>0</v>
      </c>
      <c r="N91" s="31">
        <f t="shared" si="63"/>
        <v>0</v>
      </c>
      <c r="O91" s="31">
        <f t="shared" si="63"/>
        <v>0</v>
      </c>
      <c r="P91" s="31">
        <f t="shared" si="63"/>
        <v>0</v>
      </c>
      <c r="Q91" s="31">
        <f t="shared" si="63"/>
        <v>0</v>
      </c>
      <c r="R91" s="31"/>
      <c r="S91" s="31">
        <f t="shared" si="53"/>
        <v>21158.14</v>
      </c>
      <c r="T91" s="31">
        <f t="shared" si="63"/>
        <v>0</v>
      </c>
      <c r="U91" s="31">
        <f t="shared" si="63"/>
        <v>0</v>
      </c>
      <c r="V91" s="31">
        <f t="shared" si="63"/>
        <v>0</v>
      </c>
      <c r="W91" s="31"/>
      <c r="X91" s="31">
        <f t="shared" ref="X91:AH91" si="64">SUBTOTAL(9,X86:X90)</f>
        <v>0</v>
      </c>
      <c r="Y91" s="31">
        <f t="shared" si="64"/>
        <v>0</v>
      </c>
      <c r="Z91" s="31">
        <f t="shared" si="64"/>
        <v>0</v>
      </c>
      <c r="AA91" s="31">
        <f t="shared" si="64"/>
        <v>21158.14</v>
      </c>
      <c r="AB91" s="31">
        <f t="shared" si="64"/>
        <v>8205.64</v>
      </c>
      <c r="AC91" s="31">
        <f t="shared" si="64"/>
        <v>12952.5</v>
      </c>
      <c r="AD91" s="31">
        <f t="shared" si="64"/>
        <v>0</v>
      </c>
      <c r="AE91" s="31">
        <f t="shared" si="64"/>
        <v>4629.9399999999996</v>
      </c>
      <c r="AF91" s="31">
        <f t="shared" si="64"/>
        <v>3575.7</v>
      </c>
      <c r="AG91" s="31">
        <f t="shared" si="64"/>
        <v>0</v>
      </c>
      <c r="AH91" s="31">
        <f t="shared" si="64"/>
        <v>0</v>
      </c>
      <c r="AJ91" s="12"/>
    </row>
    <row r="92" spans="1:36" ht="16.2" customHeight="1" x14ac:dyDescent="0.3">
      <c r="A92" s="90" t="s">
        <v>361</v>
      </c>
      <c r="B92" s="32">
        <v>1040832</v>
      </c>
      <c r="C92" s="83" t="s">
        <v>362</v>
      </c>
      <c r="D92" s="93"/>
      <c r="E92" s="22">
        <v>2730</v>
      </c>
      <c r="F92" s="22"/>
      <c r="G92" s="24"/>
      <c r="H92" s="23">
        <v>46416</v>
      </c>
      <c r="I92" s="46">
        <v>0.7</v>
      </c>
      <c r="J92" s="46"/>
      <c r="K92" s="6" t="s">
        <v>203</v>
      </c>
      <c r="L92" s="25"/>
      <c r="M92" s="25"/>
      <c r="N92" s="25"/>
      <c r="O92" s="25"/>
      <c r="P92" s="25"/>
      <c r="Q92" s="25"/>
      <c r="R92" s="25"/>
      <c r="S92" s="27">
        <f>E92+L92+M92+N92+P92+O92+Q92+R92</f>
        <v>2730</v>
      </c>
      <c r="T92" s="28">
        <f>IF(H92-$T$1&gt;365,S92,0)</f>
        <v>2730</v>
      </c>
      <c r="U92" s="28">
        <f>IF(H92-$T$1&lt;365,S92,0)</f>
        <v>0</v>
      </c>
      <c r="V92" s="28">
        <f>IF(H92="",S92,0)</f>
        <v>0</v>
      </c>
      <c r="W92" s="8"/>
      <c r="X92" s="28"/>
      <c r="Y92" s="28"/>
      <c r="Z92" s="28"/>
      <c r="AA92" s="28">
        <f>S92-Z92-Y92-X92</f>
        <v>2730</v>
      </c>
      <c r="AB92" s="28">
        <f>IF(H92-$AB$1&gt;365,AA92,0)</f>
        <v>2730</v>
      </c>
      <c r="AC92" s="28">
        <f>IF(H92-$AB$1&lt;=365,AA92,0)</f>
        <v>0</v>
      </c>
      <c r="AD92" s="28">
        <f>IF(H92="",AA92,0)</f>
        <v>0</v>
      </c>
      <c r="AE92" s="28">
        <f>IF(AND(H92-$AB$1&gt;365,H92-$AB$1&lt;=730),AB92,0)</f>
        <v>2730</v>
      </c>
      <c r="AF92" s="28">
        <f>IF(AND(H92-$AB$1&gt;730,H92-$AB$1&lt;=1095),AB92,0)</f>
        <v>0</v>
      </c>
      <c r="AG92" s="28">
        <f>IF(AND(H92-$AB$1&gt;1095,H92-$AB$1&lt;=1825),AB92,0)</f>
        <v>0</v>
      </c>
      <c r="AH92" s="28">
        <f>IF(H92-$AB$1&gt;1825,AB92,0)</f>
        <v>0</v>
      </c>
    </row>
    <row r="93" spans="1:36" ht="16.2" customHeight="1" x14ac:dyDescent="0.3">
      <c r="A93" s="90" t="s">
        <v>361</v>
      </c>
      <c r="B93" s="32">
        <v>1040832</v>
      </c>
      <c r="C93" s="83" t="s">
        <v>362</v>
      </c>
      <c r="D93" s="93"/>
      <c r="E93" s="22">
        <v>1170</v>
      </c>
      <c r="F93" s="22"/>
      <c r="G93" s="24"/>
      <c r="H93" s="23">
        <v>47147</v>
      </c>
      <c r="I93" s="46">
        <v>0.3</v>
      </c>
      <c r="J93" s="46"/>
      <c r="K93" s="6" t="s">
        <v>203</v>
      </c>
      <c r="L93" s="25"/>
      <c r="M93" s="25"/>
      <c r="N93" s="25"/>
      <c r="O93" s="25"/>
      <c r="P93" s="25"/>
      <c r="Q93" s="25"/>
      <c r="R93" s="25"/>
      <c r="S93" s="27">
        <f>E93+L93+M93+N93+P93+O93+Q93+R93</f>
        <v>1170</v>
      </c>
      <c r="T93" s="28">
        <f>IF(H93-$T$1&gt;365,S93,0)</f>
        <v>1170</v>
      </c>
      <c r="U93" s="28">
        <f>IF(H93-$T$1&lt;365,S93,0)</f>
        <v>0</v>
      </c>
      <c r="V93" s="28">
        <f>IF(H93="",S93,0)</f>
        <v>0</v>
      </c>
      <c r="W93" s="8"/>
      <c r="X93" s="28"/>
      <c r="Y93" s="28"/>
      <c r="Z93" s="28"/>
      <c r="AA93" s="28">
        <f>S93-Z93-Y93-X93</f>
        <v>1170</v>
      </c>
      <c r="AB93" s="28">
        <f>IF(H93-$AB$1&gt;365,AA93,0)</f>
        <v>1170</v>
      </c>
      <c r="AC93" s="28">
        <f>IF(H93-$AB$1&lt;=365,AA93,0)</f>
        <v>0</v>
      </c>
      <c r="AD93" s="28">
        <f>IF(H93="",AA93,0)</f>
        <v>0</v>
      </c>
      <c r="AE93" s="28">
        <f>IF(AND(H93-$AB$1&gt;365,H93-$AB$1&lt;=730),AB93,0)</f>
        <v>0</v>
      </c>
      <c r="AF93" s="28">
        <f>IF(AND(H93-$AB$1&gt;730,H93-$AB$1&lt;=1095),AB93,0)</f>
        <v>0</v>
      </c>
      <c r="AG93" s="28">
        <f>IF(AND(H93-$AB$1&gt;1095,H93-$AB$1&lt;=1825),AB93,0)</f>
        <v>1170</v>
      </c>
      <c r="AH93" s="28">
        <f>IF(H93-$AB$1&gt;1825,AB93,0)</f>
        <v>0</v>
      </c>
    </row>
    <row r="94" spans="1:36" ht="16.2" customHeight="1" x14ac:dyDescent="0.3">
      <c r="A94" s="130"/>
      <c r="B94" s="131"/>
      <c r="C94" s="117"/>
      <c r="D94" s="118" t="str">
        <f>IF(W94&gt;0,"zwrócone","")</f>
        <v/>
      </c>
      <c r="E94" s="31">
        <f>SUBTOTAL(9,E92:E93)</f>
        <v>3900</v>
      </c>
      <c r="F94" s="31"/>
      <c r="G94" s="119"/>
      <c r="H94" s="120"/>
      <c r="I94" s="115"/>
      <c r="J94" s="115"/>
      <c r="K94" s="115"/>
      <c r="L94" s="31">
        <f t="shared" ref="L94:Q94" si="65">SUBTOTAL(9,L92:L93)</f>
        <v>0</v>
      </c>
      <c r="M94" s="31">
        <f t="shared" si="65"/>
        <v>0</v>
      </c>
      <c r="N94" s="31">
        <f t="shared" si="65"/>
        <v>0</v>
      </c>
      <c r="O94" s="31">
        <f t="shared" si="65"/>
        <v>0</v>
      </c>
      <c r="P94" s="31">
        <f t="shared" si="65"/>
        <v>0</v>
      </c>
      <c r="Q94" s="31">
        <f t="shared" si="65"/>
        <v>0</v>
      </c>
      <c r="R94" s="31"/>
      <c r="S94" s="31">
        <f>E94+L94+M94+N94+P94+O94+Q94+R94</f>
        <v>3900</v>
      </c>
      <c r="T94" s="31">
        <f>SUBTOTAL(9,T92:T93)</f>
        <v>3900</v>
      </c>
      <c r="U94" s="31">
        <f>SUBTOTAL(9,U92:U93)</f>
        <v>0</v>
      </c>
      <c r="V94" s="31">
        <f>SUBTOTAL(9,V92:V93)</f>
        <v>0</v>
      </c>
      <c r="W94" s="31"/>
      <c r="X94" s="31">
        <f t="shared" ref="X94:AH94" si="66">SUBTOTAL(9,X92:X93)</f>
        <v>0</v>
      </c>
      <c r="Y94" s="31">
        <f t="shared" si="66"/>
        <v>0</v>
      </c>
      <c r="Z94" s="31">
        <f t="shared" si="66"/>
        <v>0</v>
      </c>
      <c r="AA94" s="31">
        <f t="shared" si="66"/>
        <v>3900</v>
      </c>
      <c r="AB94" s="31">
        <f t="shared" si="66"/>
        <v>3900</v>
      </c>
      <c r="AC94" s="31">
        <f t="shared" si="66"/>
        <v>0</v>
      </c>
      <c r="AD94" s="31">
        <f t="shared" si="66"/>
        <v>0</v>
      </c>
      <c r="AE94" s="31">
        <f t="shared" si="66"/>
        <v>2730</v>
      </c>
      <c r="AF94" s="31">
        <f t="shared" si="66"/>
        <v>0</v>
      </c>
      <c r="AG94" s="31">
        <f t="shared" si="66"/>
        <v>1170</v>
      </c>
      <c r="AH94" s="31">
        <f t="shared" si="66"/>
        <v>0</v>
      </c>
      <c r="AJ94" s="12"/>
    </row>
    <row r="95" spans="1:36" ht="16.2" customHeight="1" x14ac:dyDescent="0.3">
      <c r="A95" s="90" t="s">
        <v>33</v>
      </c>
      <c r="B95" s="32">
        <v>1040847</v>
      </c>
      <c r="C95" s="83" t="s">
        <v>34</v>
      </c>
      <c r="D95" s="93" t="str">
        <f t="shared" si="43"/>
        <v/>
      </c>
      <c r="E95" s="22">
        <f>141375+4485</f>
        <v>145860</v>
      </c>
      <c r="F95" s="22"/>
      <c r="G95" s="24" t="s">
        <v>224</v>
      </c>
      <c r="H95" s="23">
        <v>46706</v>
      </c>
      <c r="I95" s="46">
        <v>0.3</v>
      </c>
      <c r="J95" s="46" t="s">
        <v>257</v>
      </c>
      <c r="K95" s="6" t="s">
        <v>194</v>
      </c>
      <c r="L95" s="25">
        <v>3067.609999999986</v>
      </c>
      <c r="M95" s="25">
        <v>387.72</v>
      </c>
      <c r="N95" s="25">
        <v>52.87</v>
      </c>
      <c r="O95" s="25">
        <v>7335.24</v>
      </c>
      <c r="P95" s="25">
        <f>ROUND(((E95*6.01%)/365)*365,2)-64.06</f>
        <v>8702.130000000001</v>
      </c>
      <c r="Q95" s="25">
        <f>ROUND((E95*5.31%),2)</f>
        <v>7745.17</v>
      </c>
      <c r="R95" s="25"/>
      <c r="S95" s="27">
        <f t="shared" si="53"/>
        <v>173150.74</v>
      </c>
      <c r="T95" s="28">
        <f>IF(H95-$T$1&gt;365,S95,0)</f>
        <v>173150.74</v>
      </c>
      <c r="U95" s="28">
        <f>IF(H95-$T$1&lt;365,S95,0)</f>
        <v>0</v>
      </c>
      <c r="V95" s="28">
        <f>IF(H95="",S95,0)</f>
        <v>0</v>
      </c>
      <c r="W95" s="8"/>
      <c r="X95" s="28"/>
      <c r="Y95" s="28"/>
      <c r="Z95" s="28"/>
      <c r="AA95" s="28">
        <f>S95-Z95-Y95-X95</f>
        <v>173150.74</v>
      </c>
      <c r="AB95" s="28">
        <f>IF(H95-$AB$1&gt;365,AA95,0)</f>
        <v>173150.74</v>
      </c>
      <c r="AC95" s="28">
        <f>IF(H95-$AB$1&lt;=365,AA95,0)</f>
        <v>0</v>
      </c>
      <c r="AD95" s="28">
        <f>IF(H95="",AA95,0)</f>
        <v>0</v>
      </c>
      <c r="AE95" s="28">
        <f>IF(AND(H95-$AB$1&gt;365,H95-$AB$1&lt;=730),AB95,0)</f>
        <v>0</v>
      </c>
      <c r="AF95" s="28">
        <f>IF(AND(H95-$AB$1&gt;730,H95-$AB$1&lt;=1095),AB95,0)</f>
        <v>173150.74</v>
      </c>
      <c r="AG95" s="28">
        <f>IF(AND(H95-$AB$1&gt;1095,H95-$AB$1&lt;=1825),AB95,0)</f>
        <v>0</v>
      </c>
      <c r="AH95" s="28">
        <f>IF(H95-$AB$1&gt;1825,AB95,0)</f>
        <v>0</v>
      </c>
    </row>
    <row r="96" spans="1:36" ht="16.2" customHeight="1" x14ac:dyDescent="0.3">
      <c r="A96" s="90" t="s">
        <v>33</v>
      </c>
      <c r="B96" s="32">
        <v>1040847</v>
      </c>
      <c r="C96" s="83" t="s">
        <v>35</v>
      </c>
      <c r="D96" s="93" t="str">
        <f t="shared" si="43"/>
        <v/>
      </c>
      <c r="E96" s="22">
        <f>22410+951.23</f>
        <v>23361.23</v>
      </c>
      <c r="F96" s="22"/>
      <c r="G96" s="24" t="s">
        <v>228</v>
      </c>
      <c r="H96" s="23">
        <v>46675</v>
      </c>
      <c r="I96" s="46">
        <v>0.3</v>
      </c>
      <c r="J96" s="46" t="s">
        <v>257</v>
      </c>
      <c r="K96" s="6" t="s">
        <v>194</v>
      </c>
      <c r="L96" s="25"/>
      <c r="M96" s="25"/>
      <c r="N96" s="25"/>
      <c r="O96" s="25">
        <v>1126.99</v>
      </c>
      <c r="P96" s="25">
        <f>ROUND(((E96*6.01%)/365)*365,2)</f>
        <v>1404.01</v>
      </c>
      <c r="Q96" s="25">
        <f>ROUND((E96*5.31%),2)</f>
        <v>1240.48</v>
      </c>
      <c r="R96" s="25"/>
      <c r="S96" s="27">
        <f t="shared" si="53"/>
        <v>27132.71</v>
      </c>
      <c r="T96" s="28">
        <f>IF(H96-$T$1&gt;365,S96,0)</f>
        <v>27132.71</v>
      </c>
      <c r="U96" s="28">
        <f>IF(H96-$T$1&lt;365,S96,0)</f>
        <v>0</v>
      </c>
      <c r="V96" s="28">
        <f>IF(H96="",S96,0)</f>
        <v>0</v>
      </c>
      <c r="W96" s="8"/>
      <c r="X96" s="28"/>
      <c r="Y96" s="28"/>
      <c r="Z96" s="28"/>
      <c r="AA96" s="28">
        <f>S96-Z96-Y96-X96</f>
        <v>27132.71</v>
      </c>
      <c r="AB96" s="28">
        <f>IF(H96-$AB$1&gt;365,AA96,0)</f>
        <v>27132.71</v>
      </c>
      <c r="AC96" s="28">
        <f>IF(H96-$AB$1&lt;=365,AA96,0)</f>
        <v>0</v>
      </c>
      <c r="AD96" s="28">
        <f>IF(H96="",AA96,0)</f>
        <v>0</v>
      </c>
      <c r="AE96" s="28">
        <f>IF(AND(H96-$AB$1&gt;365,H96-$AB$1&lt;=730),AB96,0)</f>
        <v>0</v>
      </c>
      <c r="AF96" s="28">
        <f>IF(AND(H96-$AB$1&gt;730,H96-$AB$1&lt;=1095),AB96,0)</f>
        <v>27132.71</v>
      </c>
      <c r="AG96" s="28">
        <f>IF(AND(H96-$AB$1&gt;1095,H96-$AB$1&lt;=1825),AB96,0)</f>
        <v>0</v>
      </c>
      <c r="AH96" s="28">
        <f>IF(H96-$AB$1&gt;1825,AB96,0)</f>
        <v>0</v>
      </c>
    </row>
    <row r="97" spans="1:36" ht="16.2" customHeight="1" x14ac:dyDescent="0.3">
      <c r="A97" s="130"/>
      <c r="B97" s="131"/>
      <c r="C97" s="117"/>
      <c r="D97" s="118" t="str">
        <f t="shared" si="43"/>
        <v/>
      </c>
      <c r="E97" s="31">
        <f>SUBTOTAL(9,E95:E96)</f>
        <v>169221.23</v>
      </c>
      <c r="F97" s="31"/>
      <c r="G97" s="119"/>
      <c r="H97" s="120"/>
      <c r="I97" s="115"/>
      <c r="J97" s="115"/>
      <c r="K97" s="115"/>
      <c r="L97" s="31">
        <f t="shared" ref="L97:Q97" si="67">SUBTOTAL(9,L95:L96)</f>
        <v>3067.609999999986</v>
      </c>
      <c r="M97" s="31">
        <f t="shared" si="67"/>
        <v>387.72</v>
      </c>
      <c r="N97" s="31">
        <f t="shared" si="67"/>
        <v>52.87</v>
      </c>
      <c r="O97" s="31">
        <f t="shared" si="67"/>
        <v>8462.23</v>
      </c>
      <c r="P97" s="31">
        <f t="shared" si="67"/>
        <v>10106.140000000001</v>
      </c>
      <c r="Q97" s="31">
        <f t="shared" si="67"/>
        <v>8985.65</v>
      </c>
      <c r="R97" s="31"/>
      <c r="S97" s="31">
        <f t="shared" si="53"/>
        <v>200283.45</v>
      </c>
      <c r="T97" s="31">
        <f>SUBTOTAL(9,T95:T96)</f>
        <v>200283.44999999998</v>
      </c>
      <c r="U97" s="31">
        <f>SUBTOTAL(9,U95:U96)</f>
        <v>0</v>
      </c>
      <c r="V97" s="31">
        <f>SUBTOTAL(9,V95:V96)</f>
        <v>0</v>
      </c>
      <c r="W97" s="31"/>
      <c r="X97" s="31">
        <f t="shared" ref="X97:AH97" si="68">SUBTOTAL(9,X95:X96)</f>
        <v>0</v>
      </c>
      <c r="Y97" s="31">
        <f t="shared" si="68"/>
        <v>0</v>
      </c>
      <c r="Z97" s="31">
        <f t="shared" si="68"/>
        <v>0</v>
      </c>
      <c r="AA97" s="31">
        <f t="shared" si="68"/>
        <v>200283.44999999998</v>
      </c>
      <c r="AB97" s="31">
        <f t="shared" si="68"/>
        <v>200283.44999999998</v>
      </c>
      <c r="AC97" s="31">
        <f t="shared" si="68"/>
        <v>0</v>
      </c>
      <c r="AD97" s="31">
        <f t="shared" si="68"/>
        <v>0</v>
      </c>
      <c r="AE97" s="31">
        <f t="shared" si="68"/>
        <v>0</v>
      </c>
      <c r="AF97" s="31">
        <f t="shared" si="68"/>
        <v>200283.44999999998</v>
      </c>
      <c r="AG97" s="31">
        <f t="shared" si="68"/>
        <v>0</v>
      </c>
      <c r="AH97" s="31">
        <f t="shared" si="68"/>
        <v>0</v>
      </c>
      <c r="AJ97" s="12"/>
    </row>
    <row r="98" spans="1:36" ht="16.2" customHeight="1" x14ac:dyDescent="0.3">
      <c r="A98" s="90" t="s">
        <v>417</v>
      </c>
      <c r="B98" s="32">
        <v>1040850</v>
      </c>
      <c r="C98" s="83" t="s">
        <v>418</v>
      </c>
      <c r="D98" s="93"/>
      <c r="E98" s="22">
        <v>6292.02</v>
      </c>
      <c r="F98" s="22" t="s">
        <v>158</v>
      </c>
      <c r="G98" s="24">
        <v>45901</v>
      </c>
      <c r="H98" s="23">
        <v>46416</v>
      </c>
      <c r="I98" s="46">
        <v>0.7</v>
      </c>
      <c r="J98" s="46" t="s">
        <v>206</v>
      </c>
      <c r="K98" s="6" t="s">
        <v>203</v>
      </c>
      <c r="L98" s="25"/>
      <c r="M98" s="25"/>
      <c r="N98" s="25"/>
      <c r="O98" s="25"/>
      <c r="P98" s="25"/>
      <c r="Q98" s="25"/>
      <c r="R98" s="25"/>
      <c r="S98" s="27">
        <f t="shared" ref="S98:S100" si="69">E98+L98+M98+N98+P98+O98+Q98+R98</f>
        <v>6292.02</v>
      </c>
      <c r="T98" s="28">
        <f>IF(H98-$T$1&gt;365,S98,0)</f>
        <v>6292.02</v>
      </c>
      <c r="U98" s="28">
        <f>IF(H98-$T$1&lt;365,S98,0)</f>
        <v>0</v>
      </c>
      <c r="V98" s="28">
        <f>IF(H98="",S98,0)</f>
        <v>0</v>
      </c>
      <c r="W98" s="8"/>
      <c r="X98" s="28"/>
      <c r="Y98" s="28"/>
      <c r="Z98" s="28"/>
      <c r="AA98" s="28">
        <f>S98-Z98-Y98-X98</f>
        <v>6292.02</v>
      </c>
      <c r="AB98" s="28">
        <f>IF(H98-$AB$1&gt;365,AA98,0)</f>
        <v>6292.02</v>
      </c>
      <c r="AC98" s="28">
        <f>IF(H98-$AB$1&lt;=365,AA98,0)</f>
        <v>0</v>
      </c>
      <c r="AD98" s="28">
        <f>IF(H98="",AA98,0)</f>
        <v>0</v>
      </c>
      <c r="AE98" s="28">
        <f>IF(AND(H98-$AB$1&gt;365,H98-$AB$1&lt;=730),AB98,0)</f>
        <v>6292.02</v>
      </c>
      <c r="AF98" s="28">
        <f>IF(AND(H98-$AB$1&gt;730,H98-$AB$1&lt;=1095),AB98,0)</f>
        <v>0</v>
      </c>
      <c r="AG98" s="28">
        <f>IF(AND(H98-$AB$1&gt;1095,H98-$AB$1&lt;=1825),AB98,0)</f>
        <v>0</v>
      </c>
      <c r="AH98" s="28">
        <f>IF(H98-$AB$1&gt;1825,AB98,0)</f>
        <v>0</v>
      </c>
    </row>
    <row r="99" spans="1:36" ht="16.2" customHeight="1" x14ac:dyDescent="0.3">
      <c r="A99" s="90" t="s">
        <v>417</v>
      </c>
      <c r="B99" s="32">
        <v>1040850</v>
      </c>
      <c r="C99" s="83" t="s">
        <v>418</v>
      </c>
      <c r="D99" s="93"/>
      <c r="E99" s="22">
        <v>2696.58</v>
      </c>
      <c r="F99" s="22" t="s">
        <v>158</v>
      </c>
      <c r="G99" s="24">
        <v>45901</v>
      </c>
      <c r="H99" s="23">
        <v>47132</v>
      </c>
      <c r="I99" s="46">
        <v>0.3</v>
      </c>
      <c r="J99" s="46" t="s">
        <v>206</v>
      </c>
      <c r="K99" s="6" t="s">
        <v>203</v>
      </c>
      <c r="L99" s="25"/>
      <c r="M99" s="25"/>
      <c r="N99" s="25"/>
      <c r="O99" s="25"/>
      <c r="P99" s="25"/>
      <c r="Q99" s="25"/>
      <c r="R99" s="25"/>
      <c r="S99" s="27">
        <f t="shared" si="69"/>
        <v>2696.58</v>
      </c>
      <c r="T99" s="28">
        <f>IF(H99-$T$1&gt;365,S99,0)</f>
        <v>2696.58</v>
      </c>
      <c r="U99" s="28">
        <f>IF(H99-$T$1&lt;365,S99,0)</f>
        <v>0</v>
      </c>
      <c r="V99" s="28">
        <f>IF(H99="",S99,0)</f>
        <v>0</v>
      </c>
      <c r="W99" s="8"/>
      <c r="X99" s="28"/>
      <c r="Y99" s="28"/>
      <c r="Z99" s="28"/>
      <c r="AA99" s="28">
        <f>S99-Z99-Y99-X99</f>
        <v>2696.58</v>
      </c>
      <c r="AB99" s="28">
        <f>IF(H99-$AB$1&gt;365,AA99,0)</f>
        <v>2696.58</v>
      </c>
      <c r="AC99" s="28">
        <f>IF(H99-$AB$1&lt;=365,AA99,0)</f>
        <v>0</v>
      </c>
      <c r="AD99" s="28">
        <f>IF(H99="",AA99,0)</f>
        <v>0</v>
      </c>
      <c r="AE99" s="28">
        <f>IF(AND(H99-$AB$1&gt;365,H99-$AB$1&lt;=730),AB99,0)</f>
        <v>0</v>
      </c>
      <c r="AF99" s="28">
        <f>IF(AND(H99-$AB$1&gt;730,H99-$AB$1&lt;=1095),AB99,0)</f>
        <v>0</v>
      </c>
      <c r="AG99" s="28">
        <f>IF(AND(H99-$AB$1&gt;1095,H99-$AB$1&lt;=1825),AB99,0)</f>
        <v>2696.58</v>
      </c>
      <c r="AH99" s="28">
        <f>IF(H99-$AB$1&gt;1825,AB99,0)</f>
        <v>0</v>
      </c>
    </row>
    <row r="100" spans="1:36" ht="16.2" customHeight="1" x14ac:dyDescent="0.3">
      <c r="A100" s="130"/>
      <c r="B100" s="131"/>
      <c r="C100" s="117"/>
      <c r="D100" s="118" t="str">
        <f t="shared" ref="D100" si="70">IF(W100&gt;0,"zwrócone","")</f>
        <v/>
      </c>
      <c r="E100" s="31">
        <f>SUBTOTAL(9,E98:E99)</f>
        <v>8988.6</v>
      </c>
      <c r="F100" s="31"/>
      <c r="G100" s="119"/>
      <c r="H100" s="120"/>
      <c r="I100" s="115"/>
      <c r="J100" s="115"/>
      <c r="K100" s="115"/>
      <c r="L100" s="31">
        <f t="shared" ref="L100:Q100" si="71">SUBTOTAL(9,L98:L99)</f>
        <v>0</v>
      </c>
      <c r="M100" s="31">
        <f t="shared" si="71"/>
        <v>0</v>
      </c>
      <c r="N100" s="31">
        <f t="shared" si="71"/>
        <v>0</v>
      </c>
      <c r="O100" s="31">
        <f t="shared" si="71"/>
        <v>0</v>
      </c>
      <c r="P100" s="31">
        <f t="shared" si="71"/>
        <v>0</v>
      </c>
      <c r="Q100" s="31">
        <f t="shared" si="71"/>
        <v>0</v>
      </c>
      <c r="R100" s="31"/>
      <c r="S100" s="31">
        <f t="shared" si="69"/>
        <v>8988.6</v>
      </c>
      <c r="T100" s="31">
        <f>SUBTOTAL(9,T98:T99)</f>
        <v>8988.6</v>
      </c>
      <c r="U100" s="31">
        <f>SUBTOTAL(9,U98:U99)</f>
        <v>0</v>
      </c>
      <c r="V100" s="31">
        <f>SUBTOTAL(9,V98:V99)</f>
        <v>0</v>
      </c>
      <c r="W100" s="31"/>
      <c r="X100" s="31">
        <f t="shared" ref="X100:AH100" si="72">SUBTOTAL(9,X98:X99)</f>
        <v>0</v>
      </c>
      <c r="Y100" s="31">
        <f t="shared" si="72"/>
        <v>0</v>
      </c>
      <c r="Z100" s="31">
        <f t="shared" si="72"/>
        <v>0</v>
      </c>
      <c r="AA100" s="31">
        <f t="shared" si="72"/>
        <v>8988.6</v>
      </c>
      <c r="AB100" s="31">
        <f t="shared" si="72"/>
        <v>8988.6</v>
      </c>
      <c r="AC100" s="31">
        <f t="shared" si="72"/>
        <v>0</v>
      </c>
      <c r="AD100" s="31">
        <f t="shared" si="72"/>
        <v>0</v>
      </c>
      <c r="AE100" s="31">
        <f t="shared" si="72"/>
        <v>6292.02</v>
      </c>
      <c r="AF100" s="31">
        <f t="shared" si="72"/>
        <v>0</v>
      </c>
      <c r="AG100" s="31">
        <f t="shared" si="72"/>
        <v>2696.58</v>
      </c>
      <c r="AH100" s="31">
        <f t="shared" si="72"/>
        <v>0</v>
      </c>
      <c r="AJ100" s="12"/>
    </row>
    <row r="101" spans="1:36" ht="16.2" customHeight="1" x14ac:dyDescent="0.3">
      <c r="A101" s="90" t="s">
        <v>127</v>
      </c>
      <c r="B101" s="32">
        <v>1040932</v>
      </c>
      <c r="C101" s="83" t="s">
        <v>282</v>
      </c>
      <c r="D101" s="93" t="str">
        <f t="shared" si="43"/>
        <v/>
      </c>
      <c r="E101" s="22">
        <v>2385.6</v>
      </c>
      <c r="F101" s="22"/>
      <c r="G101" s="24">
        <v>45289</v>
      </c>
      <c r="H101" s="23">
        <v>46400</v>
      </c>
      <c r="I101" s="46">
        <v>0.3</v>
      </c>
      <c r="J101" s="46" t="s">
        <v>206</v>
      </c>
      <c r="K101" s="6" t="s">
        <v>203</v>
      </c>
      <c r="L101" s="25"/>
      <c r="M101" s="25"/>
      <c r="N101" s="25"/>
      <c r="O101" s="25"/>
      <c r="P101" s="25"/>
      <c r="Q101" s="25"/>
      <c r="R101" s="25"/>
      <c r="S101" s="27">
        <f t="shared" si="53"/>
        <v>2385.6</v>
      </c>
      <c r="T101" s="28"/>
      <c r="U101" s="28"/>
      <c r="V101" s="28"/>
      <c r="W101" s="8"/>
      <c r="X101" s="28"/>
      <c r="Y101" s="28"/>
      <c r="Z101" s="28"/>
      <c r="AA101" s="28">
        <f>S101-Z101-Y101-X101</f>
        <v>2385.6</v>
      </c>
      <c r="AB101" s="28">
        <f>IF(H101-$AB$1&gt;365,AA101,0)</f>
        <v>2385.6</v>
      </c>
      <c r="AC101" s="28">
        <f>IF(H101-$AB$1&lt;=365,AA101,0)</f>
        <v>0</v>
      </c>
      <c r="AD101" s="28">
        <f>IF(H101="",AA101,0)</f>
        <v>0</v>
      </c>
      <c r="AE101" s="28">
        <f>IF(AND(H101-$AB$1&gt;365,H101-$AB$1&lt;=730),AB101,0)</f>
        <v>2385.6</v>
      </c>
      <c r="AF101" s="28">
        <f>IF(AND(H101-$AB$1&gt;730,H101-$AB$1&lt;=1095),AB101,0)</f>
        <v>0</v>
      </c>
      <c r="AG101" s="28">
        <f>IF(AND(H101-$AB$1&gt;1095,H101-$AB$1&lt;=1825),AB101,0)</f>
        <v>0</v>
      </c>
      <c r="AH101" s="28">
        <f>IF(H101-$AB$1&gt;1825,AB101,0)</f>
        <v>0</v>
      </c>
      <c r="AJ101" s="12"/>
    </row>
    <row r="102" spans="1:36" ht="16.2" customHeight="1" x14ac:dyDescent="0.3">
      <c r="A102" s="161" t="s">
        <v>127</v>
      </c>
      <c r="B102" s="162">
        <v>1040932</v>
      </c>
      <c r="C102" s="157" t="s">
        <v>214</v>
      </c>
      <c r="D102" s="158" t="str">
        <f t="shared" si="43"/>
        <v>zwrócone</v>
      </c>
      <c r="E102" s="159">
        <v>12730.65</v>
      </c>
      <c r="F102" s="159"/>
      <c r="G102" s="160">
        <v>45056</v>
      </c>
      <c r="H102" s="84">
        <v>45807</v>
      </c>
      <c r="I102" s="46">
        <v>0.7</v>
      </c>
      <c r="J102" s="46" t="s">
        <v>206</v>
      </c>
      <c r="K102" s="6" t="s">
        <v>203</v>
      </c>
      <c r="L102" s="25"/>
      <c r="M102" s="25"/>
      <c r="N102" s="25"/>
      <c r="O102" s="25"/>
      <c r="P102" s="25"/>
      <c r="Q102" s="25"/>
      <c r="R102" s="25"/>
      <c r="S102" s="27">
        <f t="shared" si="53"/>
        <v>12730.65</v>
      </c>
      <c r="T102" s="28"/>
      <c r="U102" s="28"/>
      <c r="V102" s="28"/>
      <c r="W102" s="37">
        <v>45807</v>
      </c>
      <c r="X102" s="28"/>
      <c r="Y102" s="28"/>
      <c r="Z102" s="28">
        <v>12730.65</v>
      </c>
      <c r="AA102" s="28">
        <f>S102-Z102-Y102-X102</f>
        <v>0</v>
      </c>
      <c r="AB102" s="28">
        <f>IF(H102-$AB$1&gt;365,AA102,0)</f>
        <v>0</v>
      </c>
      <c r="AC102" s="28">
        <f>IF(H102-$AB$1&lt;=365,AA102,0)</f>
        <v>0</v>
      </c>
      <c r="AD102" s="28">
        <f>IF(H102="",AA102,0)</f>
        <v>0</v>
      </c>
      <c r="AE102" s="28">
        <f>IF(AND(H102-$AB$1&gt;365,H102-$AB$1&lt;=730),AB102,0)</f>
        <v>0</v>
      </c>
      <c r="AF102" s="28">
        <f>IF(AND(H102-$AB$1&gt;730,H102-$AB$1&lt;=1095),AB102,0)</f>
        <v>0</v>
      </c>
      <c r="AG102" s="28">
        <f>IF(AND(H102-$AB$1&gt;1095,H102-$AB$1&lt;=1825),AB102,0)</f>
        <v>0</v>
      </c>
      <c r="AH102" s="28">
        <f>IF(H102-$AB$1&gt;1825,AB102,0)</f>
        <v>0</v>
      </c>
      <c r="AJ102" s="12"/>
    </row>
    <row r="103" spans="1:36" ht="16.2" customHeight="1" x14ac:dyDescent="0.3">
      <c r="A103" s="90" t="s">
        <v>127</v>
      </c>
      <c r="B103" s="32">
        <v>1040932</v>
      </c>
      <c r="C103" s="83" t="s">
        <v>404</v>
      </c>
      <c r="D103" s="93" t="str">
        <f t="shared" si="43"/>
        <v/>
      </c>
      <c r="E103" s="22">
        <v>3145.1</v>
      </c>
      <c r="F103" s="22" t="s">
        <v>158</v>
      </c>
      <c r="G103" s="24">
        <v>45851</v>
      </c>
      <c r="H103" s="23">
        <v>46418</v>
      </c>
      <c r="I103" s="46">
        <v>0.7</v>
      </c>
      <c r="J103" s="46" t="s">
        <v>206</v>
      </c>
      <c r="K103" s="6" t="s">
        <v>203</v>
      </c>
      <c r="L103" s="25"/>
      <c r="M103" s="25"/>
      <c r="N103" s="25"/>
      <c r="O103" s="25"/>
      <c r="P103" s="25"/>
      <c r="Q103" s="25"/>
      <c r="R103" s="25"/>
      <c r="S103" s="27">
        <f t="shared" si="53"/>
        <v>3145.1</v>
      </c>
      <c r="T103" s="28"/>
      <c r="U103" s="28"/>
      <c r="V103" s="28"/>
      <c r="W103" s="37"/>
      <c r="X103" s="28"/>
      <c r="Y103" s="28"/>
      <c r="Z103" s="28"/>
      <c r="AA103" s="28">
        <f t="shared" ref="AA103:AA104" si="73">S103-Z103-Y103-X103</f>
        <v>3145.1</v>
      </c>
      <c r="AB103" s="28">
        <f t="shared" ref="AB103:AB104" si="74">IF(H103-$AB$1&gt;365,AA103,0)</f>
        <v>3145.1</v>
      </c>
      <c r="AC103" s="28">
        <f t="shared" ref="AC103:AC104" si="75">IF(H103-$AB$1&lt;=365,AA103,0)</f>
        <v>0</v>
      </c>
      <c r="AD103" s="28">
        <f t="shared" ref="AD103:AD104" si="76">IF(H103="",AA103,0)</f>
        <v>0</v>
      </c>
      <c r="AE103" s="28">
        <f t="shared" ref="AE103:AE104" si="77">IF(AND(H103-$AB$1&gt;365,H103-$AB$1&lt;=730),AB103,0)</f>
        <v>3145.1</v>
      </c>
      <c r="AF103" s="28">
        <f t="shared" ref="AF103:AF104" si="78">IF(AND(H103-$AB$1&gt;730,H103-$AB$1&lt;=1095),AB103,0)</f>
        <v>0</v>
      </c>
      <c r="AG103" s="28">
        <f t="shared" ref="AG103:AG104" si="79">IF(AND(H103-$AB$1&gt;1095,H103-$AB$1&lt;=1825),AB103,0)</f>
        <v>0</v>
      </c>
      <c r="AH103" s="28">
        <f t="shared" ref="AH103:AH104" si="80">IF(H103-$AB$1&gt;1825,AB103,0)</f>
        <v>0</v>
      </c>
      <c r="AJ103" s="12"/>
    </row>
    <row r="104" spans="1:36" ht="16.2" customHeight="1" x14ac:dyDescent="0.3">
      <c r="A104" s="90" t="s">
        <v>127</v>
      </c>
      <c r="B104" s="32">
        <v>1040932</v>
      </c>
      <c r="C104" s="83" t="s">
        <v>404</v>
      </c>
      <c r="D104" s="93" t="str">
        <f t="shared" si="43"/>
        <v/>
      </c>
      <c r="E104" s="22">
        <v>1347.9</v>
      </c>
      <c r="F104" s="22" t="s">
        <v>158</v>
      </c>
      <c r="G104" s="24">
        <v>45851</v>
      </c>
      <c r="H104" s="23">
        <v>46783</v>
      </c>
      <c r="I104" s="46">
        <v>0.3</v>
      </c>
      <c r="J104" s="46" t="s">
        <v>206</v>
      </c>
      <c r="K104" s="6" t="s">
        <v>203</v>
      </c>
      <c r="L104" s="25"/>
      <c r="M104" s="25"/>
      <c r="N104" s="25"/>
      <c r="O104" s="25"/>
      <c r="P104" s="25"/>
      <c r="Q104" s="25"/>
      <c r="R104" s="25"/>
      <c r="S104" s="27">
        <f t="shared" si="53"/>
        <v>1347.9</v>
      </c>
      <c r="T104" s="28"/>
      <c r="U104" s="28"/>
      <c r="V104" s="28"/>
      <c r="W104" s="37"/>
      <c r="X104" s="28"/>
      <c r="Y104" s="28"/>
      <c r="Z104" s="28"/>
      <c r="AA104" s="28">
        <f t="shared" si="73"/>
        <v>1347.9</v>
      </c>
      <c r="AB104" s="28">
        <f t="shared" si="74"/>
        <v>1347.9</v>
      </c>
      <c r="AC104" s="28">
        <f t="shared" si="75"/>
        <v>0</v>
      </c>
      <c r="AD104" s="28">
        <f t="shared" si="76"/>
        <v>0</v>
      </c>
      <c r="AE104" s="28">
        <f t="shared" si="77"/>
        <v>0</v>
      </c>
      <c r="AF104" s="28">
        <f t="shared" si="78"/>
        <v>1347.9</v>
      </c>
      <c r="AG104" s="28">
        <f t="shared" si="79"/>
        <v>0</v>
      </c>
      <c r="AH104" s="28">
        <f t="shared" si="80"/>
        <v>0</v>
      </c>
      <c r="AJ104" s="12"/>
    </row>
    <row r="105" spans="1:36" ht="16.2" customHeight="1" x14ac:dyDescent="0.3">
      <c r="A105" s="90" t="s">
        <v>127</v>
      </c>
      <c r="B105" s="32">
        <v>1040932</v>
      </c>
      <c r="C105" s="83" t="s">
        <v>214</v>
      </c>
      <c r="D105" s="93" t="str">
        <f t="shared" si="43"/>
        <v/>
      </c>
      <c r="E105" s="22">
        <v>5455.99</v>
      </c>
      <c r="F105" s="22"/>
      <c r="G105" s="24">
        <v>45056</v>
      </c>
      <c r="H105" s="23">
        <v>46417</v>
      </c>
      <c r="I105" s="46">
        <v>0.3</v>
      </c>
      <c r="J105" s="46" t="s">
        <v>206</v>
      </c>
      <c r="K105" s="6" t="s">
        <v>203</v>
      </c>
      <c r="L105" s="25"/>
      <c r="M105" s="25"/>
      <c r="N105" s="25"/>
      <c r="O105" s="25"/>
      <c r="P105" s="25"/>
      <c r="Q105" s="25"/>
      <c r="R105" s="25"/>
      <c r="S105" s="27">
        <f t="shared" si="53"/>
        <v>5455.99</v>
      </c>
      <c r="T105" s="28"/>
      <c r="U105" s="28"/>
      <c r="V105" s="28"/>
      <c r="W105" s="8"/>
      <c r="X105" s="28"/>
      <c r="Y105" s="28"/>
      <c r="Z105" s="28"/>
      <c r="AA105" s="28">
        <f>S105-Z105-Y105-X105</f>
        <v>5455.99</v>
      </c>
      <c r="AB105" s="28">
        <f>IF(H105-$AB$1&gt;365,AA105,0)</f>
        <v>5455.99</v>
      </c>
      <c r="AC105" s="28">
        <f>IF(H105-$AB$1&lt;=365,AA105,0)</f>
        <v>0</v>
      </c>
      <c r="AD105" s="28">
        <f>IF(H105="",AA105,0)</f>
        <v>0</v>
      </c>
      <c r="AE105" s="28">
        <f>IF(AND(H105-$AB$1&gt;365,H105-$AB$1&lt;=730),AB105,0)</f>
        <v>5455.99</v>
      </c>
      <c r="AF105" s="28">
        <f>IF(AND(H105-$AB$1&gt;730,H105-$AB$1&lt;=1095),AB105,0)</f>
        <v>0</v>
      </c>
      <c r="AG105" s="28">
        <f>IF(AND(H105-$AB$1&gt;1095,H105-$AB$1&lt;=1825),AB105,0)</f>
        <v>0</v>
      </c>
      <c r="AH105" s="28">
        <f>IF(H105-$AB$1&gt;1825,AB105,0)</f>
        <v>0</v>
      </c>
      <c r="AJ105" s="12"/>
    </row>
    <row r="106" spans="1:36" ht="16.2" customHeight="1" x14ac:dyDescent="0.3">
      <c r="A106" s="130"/>
      <c r="B106" s="131"/>
      <c r="C106" s="117"/>
      <c r="D106" s="118" t="str">
        <f t="shared" si="43"/>
        <v/>
      </c>
      <c r="E106" s="31">
        <f>SUBTOTAL(9,E101:E105)</f>
        <v>25065.239999999998</v>
      </c>
      <c r="F106" s="31"/>
      <c r="G106" s="119"/>
      <c r="H106" s="120"/>
      <c r="I106" s="115"/>
      <c r="J106" s="115"/>
      <c r="K106" s="115"/>
      <c r="L106" s="31">
        <f t="shared" ref="L106:Q106" si="81">SUBTOTAL(9,L101:L105)</f>
        <v>0</v>
      </c>
      <c r="M106" s="31">
        <f t="shared" si="81"/>
        <v>0</v>
      </c>
      <c r="N106" s="31">
        <f t="shared" si="81"/>
        <v>0</v>
      </c>
      <c r="O106" s="31">
        <f t="shared" si="81"/>
        <v>0</v>
      </c>
      <c r="P106" s="31">
        <f t="shared" si="81"/>
        <v>0</v>
      </c>
      <c r="Q106" s="31">
        <f t="shared" si="81"/>
        <v>0</v>
      </c>
      <c r="R106" s="31"/>
      <c r="S106" s="31">
        <f t="shared" si="53"/>
        <v>25065.239999999998</v>
      </c>
      <c r="T106" s="31" t="e">
        <f>SUBTOTAL(9,#REF!)</f>
        <v>#REF!</v>
      </c>
      <c r="U106" s="31" t="e">
        <f>SUBTOTAL(9,#REF!)</f>
        <v>#REF!</v>
      </c>
      <c r="V106" s="31" t="e">
        <f>SUBTOTAL(9,#REF!)</f>
        <v>#REF!</v>
      </c>
      <c r="W106" s="31"/>
      <c r="X106" s="31">
        <f t="shared" ref="X106:AH106" si="82">SUBTOTAL(9,X101:X105)</f>
        <v>0</v>
      </c>
      <c r="Y106" s="31">
        <f t="shared" si="82"/>
        <v>0</v>
      </c>
      <c r="Z106" s="31">
        <f t="shared" si="82"/>
        <v>12730.65</v>
      </c>
      <c r="AA106" s="31">
        <f t="shared" si="82"/>
        <v>12334.59</v>
      </c>
      <c r="AB106" s="31">
        <f t="shared" si="82"/>
        <v>12334.59</v>
      </c>
      <c r="AC106" s="31">
        <f t="shared" si="82"/>
        <v>0</v>
      </c>
      <c r="AD106" s="31">
        <f t="shared" si="82"/>
        <v>0</v>
      </c>
      <c r="AE106" s="31">
        <f t="shared" si="82"/>
        <v>10986.689999999999</v>
      </c>
      <c r="AF106" s="31">
        <f t="shared" si="82"/>
        <v>1347.9</v>
      </c>
      <c r="AG106" s="31">
        <f t="shared" si="82"/>
        <v>0</v>
      </c>
      <c r="AH106" s="31">
        <f t="shared" si="82"/>
        <v>0</v>
      </c>
      <c r="AJ106" s="12"/>
    </row>
    <row r="107" spans="1:36" ht="16.2" customHeight="1" x14ac:dyDescent="0.3">
      <c r="A107" s="161" t="s">
        <v>136</v>
      </c>
      <c r="B107" s="162">
        <v>1041028</v>
      </c>
      <c r="C107" s="157" t="s">
        <v>233</v>
      </c>
      <c r="D107" s="158" t="str">
        <f t="shared" si="43"/>
        <v>zwrócone</v>
      </c>
      <c r="E107" s="159">
        <v>9900</v>
      </c>
      <c r="F107" s="159" t="s">
        <v>158</v>
      </c>
      <c r="G107" s="160">
        <v>45134</v>
      </c>
      <c r="H107" s="84">
        <v>45687</v>
      </c>
      <c r="I107" s="46">
        <v>1</v>
      </c>
      <c r="J107" s="46" t="s">
        <v>206</v>
      </c>
      <c r="K107" s="6" t="s">
        <v>203</v>
      </c>
      <c r="L107" s="25"/>
      <c r="M107" s="25"/>
      <c r="N107" s="25"/>
      <c r="O107" s="25"/>
      <c r="P107" s="25"/>
      <c r="Q107" s="25"/>
      <c r="R107" s="25"/>
      <c r="S107" s="27">
        <f t="shared" si="53"/>
        <v>9900</v>
      </c>
      <c r="T107" s="28"/>
      <c r="U107" s="28"/>
      <c r="V107" s="28"/>
      <c r="W107" s="37">
        <v>45729</v>
      </c>
      <c r="X107" s="28"/>
      <c r="Y107" s="28"/>
      <c r="Z107" s="28">
        <v>9900</v>
      </c>
      <c r="AA107" s="28">
        <f>S107-Z107-Y107-X107</f>
        <v>0</v>
      </c>
      <c r="AB107" s="28">
        <f>IF(H107-$AB$1&gt;365,AA107,0)</f>
        <v>0</v>
      </c>
      <c r="AC107" s="28">
        <f>IF(H107-$AB$1&lt;=365,AA107,0)</f>
        <v>0</v>
      </c>
      <c r="AD107" s="28">
        <f>IF(H107="",AA107,0)</f>
        <v>0</v>
      </c>
      <c r="AE107" s="28">
        <f>IF(AND(H107-$AB$1&gt;365,H107-$AB$1&lt;=730),AB107,0)</f>
        <v>0</v>
      </c>
      <c r="AF107" s="28">
        <f>IF(AND(H107-$AB$1&gt;730,H107-$AB$1&lt;=1095),AB107,0)</f>
        <v>0</v>
      </c>
      <c r="AG107" s="28">
        <f>IF(AND(H107-$AB$1&gt;1095,H107-$AB$1&lt;=1825),AB107,0)</f>
        <v>0</v>
      </c>
      <c r="AH107" s="28">
        <f>IF(H107-$AB$1&gt;1825,AB107,0)</f>
        <v>0</v>
      </c>
      <c r="AJ107" s="12"/>
    </row>
    <row r="108" spans="1:36" ht="16.2" customHeight="1" x14ac:dyDescent="0.3">
      <c r="A108" s="90" t="s">
        <v>136</v>
      </c>
      <c r="B108" s="32">
        <v>1041028</v>
      </c>
      <c r="C108" s="83" t="s">
        <v>396</v>
      </c>
      <c r="D108" s="93" t="str">
        <f t="shared" si="43"/>
        <v/>
      </c>
      <c r="E108" s="22">
        <v>6720</v>
      </c>
      <c r="F108" s="22" t="s">
        <v>158</v>
      </c>
      <c r="G108" s="24">
        <v>45798</v>
      </c>
      <c r="H108" s="23">
        <v>46230</v>
      </c>
      <c r="I108" s="46">
        <v>1</v>
      </c>
      <c r="J108" s="46" t="s">
        <v>206</v>
      </c>
      <c r="K108" s="6" t="s">
        <v>203</v>
      </c>
      <c r="L108" s="25"/>
      <c r="M108" s="25"/>
      <c r="N108" s="25"/>
      <c r="O108" s="25"/>
      <c r="P108" s="25"/>
      <c r="Q108" s="25"/>
      <c r="R108" s="25"/>
      <c r="S108" s="27">
        <f t="shared" si="53"/>
        <v>6720</v>
      </c>
      <c r="T108" s="28"/>
      <c r="U108" s="28"/>
      <c r="V108" s="28"/>
      <c r="W108" s="37"/>
      <c r="X108" s="28"/>
      <c r="Y108" s="28"/>
      <c r="Z108" s="28"/>
      <c r="AA108" s="28">
        <f>S108-Z108-Y108-X108</f>
        <v>6720</v>
      </c>
      <c r="AB108" s="28">
        <f>IF(H108-$AB$1&gt;365,AA108,0)</f>
        <v>0</v>
      </c>
      <c r="AC108" s="28">
        <f>IF(H108-$AB$1&lt;=365,AA108,0)</f>
        <v>6720</v>
      </c>
      <c r="AD108" s="28">
        <f>IF(H108="",AA108,0)</f>
        <v>0</v>
      </c>
      <c r="AE108" s="28">
        <f>IF(AND(H108-$AB$1&gt;365,H108-$AB$1&lt;=730),AB108,0)</f>
        <v>0</v>
      </c>
      <c r="AF108" s="28">
        <f>IF(AND(H108-$AB$1&gt;730,H108-$AB$1&lt;=1095),AB108,0)</f>
        <v>0</v>
      </c>
      <c r="AG108" s="28">
        <f>IF(AND(H108-$AB$1&gt;1095,H108-$AB$1&lt;=1825),AB108,0)</f>
        <v>0</v>
      </c>
      <c r="AH108" s="28">
        <f>IF(H108-$AB$1&gt;1825,AB108,0)</f>
        <v>0</v>
      </c>
      <c r="AJ108" s="12"/>
    </row>
    <row r="109" spans="1:36" ht="16.2" customHeight="1" x14ac:dyDescent="0.3">
      <c r="A109" s="161" t="s">
        <v>136</v>
      </c>
      <c r="B109" s="162">
        <v>1041028</v>
      </c>
      <c r="C109" s="157" t="s">
        <v>238</v>
      </c>
      <c r="D109" s="158" t="str">
        <f>IF(W109&gt;0,"zwrócone","")</f>
        <v>zwrócone</v>
      </c>
      <c r="E109" s="159">
        <v>9856</v>
      </c>
      <c r="F109" s="159" t="s">
        <v>158</v>
      </c>
      <c r="G109" s="160">
        <v>45152</v>
      </c>
      <c r="H109" s="84">
        <v>45687</v>
      </c>
      <c r="I109" s="46">
        <v>1</v>
      </c>
      <c r="J109" s="46" t="s">
        <v>206</v>
      </c>
      <c r="K109" s="6" t="s">
        <v>203</v>
      </c>
      <c r="L109" s="25"/>
      <c r="M109" s="25"/>
      <c r="N109" s="25"/>
      <c r="O109" s="25"/>
      <c r="P109" s="25"/>
      <c r="Q109" s="25"/>
      <c r="R109" s="25"/>
      <c r="S109" s="27">
        <f t="shared" si="53"/>
        <v>9856</v>
      </c>
      <c r="T109" s="28"/>
      <c r="U109" s="28"/>
      <c r="V109" s="28"/>
      <c r="W109" s="37">
        <v>45729</v>
      </c>
      <c r="X109" s="28"/>
      <c r="Y109" s="28"/>
      <c r="Z109" s="28">
        <v>9856</v>
      </c>
      <c r="AA109" s="28">
        <f>S109-Z109-Y109-X109</f>
        <v>0</v>
      </c>
      <c r="AB109" s="28">
        <f>IF(H109-$AB$1&gt;365,AA109,0)</f>
        <v>0</v>
      </c>
      <c r="AC109" s="28">
        <f>IF(H109-$AB$1&lt;=365,AA109,0)</f>
        <v>0</v>
      </c>
      <c r="AD109" s="28">
        <f>IF(H109="",AA109,0)</f>
        <v>0</v>
      </c>
      <c r="AE109" s="28">
        <f>IF(AND(H109-$AB$1&gt;365,H109-$AB$1&lt;=730),AB109,0)</f>
        <v>0</v>
      </c>
      <c r="AF109" s="28">
        <f>IF(AND(H109-$AB$1&gt;730,H109-$AB$1&lt;=1095),AB109,0)</f>
        <v>0</v>
      </c>
      <c r="AG109" s="28">
        <f>IF(AND(H109-$AB$1&gt;1095,H109-$AB$1&lt;=1825),AB109,0)</f>
        <v>0</v>
      </c>
      <c r="AH109" s="28">
        <f>IF(H109-$AB$1&gt;1825,AB109,0)</f>
        <v>0</v>
      </c>
      <c r="AJ109" s="12"/>
    </row>
    <row r="110" spans="1:36" ht="16.2" customHeight="1" x14ac:dyDescent="0.3">
      <c r="A110" s="130"/>
      <c r="B110" s="131"/>
      <c r="C110" s="117"/>
      <c r="D110" s="118" t="str">
        <f t="shared" si="43"/>
        <v/>
      </c>
      <c r="E110" s="31">
        <f>SUBTOTAL(9,E107:E109)</f>
        <v>26476</v>
      </c>
      <c r="F110" s="31"/>
      <c r="G110" s="119"/>
      <c r="H110" s="120"/>
      <c r="I110" s="115"/>
      <c r="J110" s="115"/>
      <c r="K110" s="115"/>
      <c r="L110" s="31">
        <f t="shared" ref="L110:V110" si="83">SUBTOTAL(9,L107:L109)</f>
        <v>0</v>
      </c>
      <c r="M110" s="31">
        <f t="shared" si="83"/>
        <v>0</v>
      </c>
      <c r="N110" s="31">
        <f t="shared" si="83"/>
        <v>0</v>
      </c>
      <c r="O110" s="31">
        <f t="shared" si="83"/>
        <v>0</v>
      </c>
      <c r="P110" s="31">
        <f t="shared" si="83"/>
        <v>0</v>
      </c>
      <c r="Q110" s="31">
        <f t="shared" si="83"/>
        <v>0</v>
      </c>
      <c r="R110" s="31"/>
      <c r="S110" s="31">
        <f t="shared" si="53"/>
        <v>26476</v>
      </c>
      <c r="T110" s="31">
        <f t="shared" si="83"/>
        <v>0</v>
      </c>
      <c r="U110" s="31">
        <f t="shared" si="83"/>
        <v>0</v>
      </c>
      <c r="V110" s="31">
        <f t="shared" si="83"/>
        <v>0</v>
      </c>
      <c r="W110" s="31"/>
      <c r="X110" s="31">
        <f t="shared" ref="X110:AH110" si="84">SUBTOTAL(9,X107:X109)</f>
        <v>0</v>
      </c>
      <c r="Y110" s="31">
        <f t="shared" si="84"/>
        <v>0</v>
      </c>
      <c r="Z110" s="31">
        <f t="shared" si="84"/>
        <v>19756</v>
      </c>
      <c r="AA110" s="31">
        <f t="shared" si="84"/>
        <v>6720</v>
      </c>
      <c r="AB110" s="31">
        <f t="shared" si="84"/>
        <v>0</v>
      </c>
      <c r="AC110" s="31">
        <f t="shared" si="84"/>
        <v>6720</v>
      </c>
      <c r="AD110" s="31">
        <f t="shared" si="84"/>
        <v>0</v>
      </c>
      <c r="AE110" s="31">
        <f t="shared" si="84"/>
        <v>0</v>
      </c>
      <c r="AF110" s="31">
        <f t="shared" si="84"/>
        <v>0</v>
      </c>
      <c r="AG110" s="31">
        <f t="shared" si="84"/>
        <v>0</v>
      </c>
      <c r="AH110" s="31">
        <f t="shared" si="84"/>
        <v>0</v>
      </c>
      <c r="AJ110" s="12"/>
    </row>
    <row r="111" spans="1:36" ht="16.2" customHeight="1" x14ac:dyDescent="0.3">
      <c r="A111" s="161" t="s">
        <v>128</v>
      </c>
      <c r="B111" s="162">
        <v>1041050</v>
      </c>
      <c r="C111" s="157" t="s">
        <v>188</v>
      </c>
      <c r="D111" s="158" t="str">
        <f>IF(W111&gt;0,"zwrócone","")</f>
        <v>zwrócone</v>
      </c>
      <c r="E111" s="159">
        <v>1176</v>
      </c>
      <c r="F111" s="159"/>
      <c r="G111" s="160">
        <v>45020</v>
      </c>
      <c r="H111" s="84">
        <v>45762</v>
      </c>
      <c r="I111" s="46">
        <v>0.3</v>
      </c>
      <c r="J111" s="46" t="s">
        <v>206</v>
      </c>
      <c r="K111" s="46" t="s">
        <v>203</v>
      </c>
      <c r="L111" s="25"/>
      <c r="M111" s="25"/>
      <c r="N111" s="25"/>
      <c r="O111" s="25"/>
      <c r="P111" s="25"/>
      <c r="Q111" s="25"/>
      <c r="R111" s="25"/>
      <c r="S111" s="27">
        <f t="shared" si="53"/>
        <v>1176</v>
      </c>
      <c r="T111" s="28"/>
      <c r="U111" s="28"/>
      <c r="V111" s="28"/>
      <c r="W111" s="37">
        <v>45764</v>
      </c>
      <c r="X111" s="28"/>
      <c r="Y111" s="28"/>
      <c r="Z111" s="28">
        <v>1176</v>
      </c>
      <c r="AA111" s="28">
        <f>S111-Z111-Y111-X111</f>
        <v>0</v>
      </c>
      <c r="AB111" s="28">
        <f>IF(H111-$AB$1&gt;365,AA111,0)</f>
        <v>0</v>
      </c>
      <c r="AC111" s="28">
        <f>IF(H111-$AB$1&lt;=365,AA111,0)</f>
        <v>0</v>
      </c>
      <c r="AD111" s="28">
        <f>IF(H111="",AA111,0)</f>
        <v>0</v>
      </c>
      <c r="AE111" s="28">
        <f>IF(AND(H111-$AB$1&gt;365,H111-$AB$1&lt;=730),AB111,0)</f>
        <v>0</v>
      </c>
      <c r="AF111" s="28">
        <f>IF(AND(H111-$AB$1&gt;730,H111-$AB$1&lt;=1095),AB111,0)</f>
        <v>0</v>
      </c>
      <c r="AG111" s="28">
        <f>IF(AND(H111-$AB$1&gt;1095,H111-$AB$1&lt;=1825),AB111,0)</f>
        <v>0</v>
      </c>
      <c r="AH111" s="28">
        <f>IF(H111-$AB$1&gt;1825,AB111,0)</f>
        <v>0</v>
      </c>
      <c r="AJ111" s="12"/>
    </row>
    <row r="112" spans="1:36" ht="16.2" customHeight="1" x14ac:dyDescent="0.3">
      <c r="A112" s="90" t="s">
        <v>128</v>
      </c>
      <c r="B112" s="32">
        <v>1041050</v>
      </c>
      <c r="C112" s="83" t="s">
        <v>405</v>
      </c>
      <c r="D112" s="93" t="str">
        <f>IF(W112&gt;0,"zwrócone","")</f>
        <v/>
      </c>
      <c r="E112" s="22">
        <v>6753.6</v>
      </c>
      <c r="F112" s="22"/>
      <c r="G112" s="24">
        <v>45845</v>
      </c>
      <c r="H112" s="23">
        <v>46082</v>
      </c>
      <c r="I112" s="46">
        <v>1</v>
      </c>
      <c r="J112" s="46" t="s">
        <v>206</v>
      </c>
      <c r="K112" s="46" t="s">
        <v>203</v>
      </c>
      <c r="L112" s="25"/>
      <c r="M112" s="25"/>
      <c r="N112" s="25"/>
      <c r="O112" s="25"/>
      <c r="P112" s="25"/>
      <c r="Q112" s="25"/>
      <c r="R112" s="25"/>
      <c r="S112" s="27">
        <f t="shared" si="53"/>
        <v>6753.6</v>
      </c>
      <c r="T112" s="28"/>
      <c r="U112" s="28"/>
      <c r="V112" s="28"/>
      <c r="W112" s="37"/>
      <c r="X112" s="28"/>
      <c r="Y112" s="28"/>
      <c r="Z112" s="28"/>
      <c r="AA112" s="28">
        <f>S112-Z112-Y112-X112</f>
        <v>6753.6</v>
      </c>
      <c r="AB112" s="28">
        <f>IF(H112-$AB$1&gt;365,AA112,0)</f>
        <v>0</v>
      </c>
      <c r="AC112" s="28">
        <f>IF(H112-$AB$1&lt;=365,AA112,0)</f>
        <v>6753.6</v>
      </c>
      <c r="AD112" s="28">
        <f>IF(H112="",AA112,0)</f>
        <v>0</v>
      </c>
      <c r="AE112" s="28">
        <f>IF(AND(H112-$AB$1&gt;365,H112-$AB$1&lt;=730),AB112,0)</f>
        <v>0</v>
      </c>
      <c r="AF112" s="28">
        <f>IF(AND(H112-$AB$1&gt;730,H112-$AB$1&lt;=1095),AB112,0)</f>
        <v>0</v>
      </c>
      <c r="AG112" s="28">
        <f>IF(AND(H112-$AB$1&gt;1095,H112-$AB$1&lt;=1825),AB112,0)</f>
        <v>0</v>
      </c>
      <c r="AH112" s="28">
        <f>IF(H112-$AB$1&gt;1825,AB112,0)</f>
        <v>0</v>
      </c>
      <c r="AJ112" s="12"/>
    </row>
    <row r="113" spans="1:36" ht="16.2" customHeight="1" x14ac:dyDescent="0.3">
      <c r="A113" s="130"/>
      <c r="B113" s="131"/>
      <c r="C113" s="117"/>
      <c r="D113" s="118" t="str">
        <f>IF(W113&gt;0,"zwrócone","")</f>
        <v/>
      </c>
      <c r="E113" s="31">
        <f>SUBTOTAL(9,E111:E112)</f>
        <v>7929.6</v>
      </c>
      <c r="F113" s="31"/>
      <c r="G113" s="119"/>
      <c r="H113" s="120"/>
      <c r="I113" s="115"/>
      <c r="J113" s="115"/>
      <c r="K113" s="115"/>
      <c r="L113" s="31">
        <f>SUBTOTAL(9,L111:L112)</f>
        <v>0</v>
      </c>
      <c r="M113" s="31">
        <f t="shared" ref="M113:AH113" si="85">SUBTOTAL(9,M111:M112)</f>
        <v>0</v>
      </c>
      <c r="N113" s="31">
        <f t="shared" si="85"/>
        <v>0</v>
      </c>
      <c r="O113" s="31">
        <f t="shared" si="85"/>
        <v>0</v>
      </c>
      <c r="P113" s="31">
        <f t="shared" si="85"/>
        <v>0</v>
      </c>
      <c r="Q113" s="31">
        <f t="shared" si="85"/>
        <v>0</v>
      </c>
      <c r="R113" s="31">
        <f t="shared" si="85"/>
        <v>0</v>
      </c>
      <c r="S113" s="31">
        <f t="shared" si="85"/>
        <v>7929.6</v>
      </c>
      <c r="T113" s="31">
        <f t="shared" si="85"/>
        <v>0</v>
      </c>
      <c r="U113" s="31">
        <f t="shared" si="85"/>
        <v>0</v>
      </c>
      <c r="V113" s="31">
        <f t="shared" si="85"/>
        <v>0</v>
      </c>
      <c r="W113" s="31"/>
      <c r="X113" s="31">
        <f t="shared" si="85"/>
        <v>0</v>
      </c>
      <c r="Y113" s="31">
        <f t="shared" si="85"/>
        <v>0</v>
      </c>
      <c r="Z113" s="31">
        <f t="shared" si="85"/>
        <v>1176</v>
      </c>
      <c r="AA113" s="31">
        <f t="shared" si="85"/>
        <v>6753.6</v>
      </c>
      <c r="AB113" s="31">
        <f t="shared" si="85"/>
        <v>0</v>
      </c>
      <c r="AC113" s="31">
        <f t="shared" si="85"/>
        <v>6753.6</v>
      </c>
      <c r="AD113" s="31">
        <f t="shared" si="85"/>
        <v>0</v>
      </c>
      <c r="AE113" s="31">
        <f t="shared" si="85"/>
        <v>0</v>
      </c>
      <c r="AF113" s="31">
        <f t="shared" si="85"/>
        <v>0</v>
      </c>
      <c r="AG113" s="31">
        <f t="shared" si="85"/>
        <v>0</v>
      </c>
      <c r="AH113" s="31">
        <f t="shared" si="85"/>
        <v>0</v>
      </c>
      <c r="AJ113" s="12"/>
    </row>
    <row r="114" spans="1:36" ht="16.2" customHeight="1" x14ac:dyDescent="0.3">
      <c r="A114" s="90" t="s">
        <v>329</v>
      </c>
      <c r="B114" s="32">
        <v>1041571</v>
      </c>
      <c r="C114" s="83" t="s">
        <v>347</v>
      </c>
      <c r="D114" s="93"/>
      <c r="E114" s="22">
        <v>10724</v>
      </c>
      <c r="F114" s="22" t="s">
        <v>158</v>
      </c>
      <c r="G114" s="24">
        <v>45677</v>
      </c>
      <c r="H114" s="23">
        <v>45991</v>
      </c>
      <c r="I114" s="46">
        <v>0.7</v>
      </c>
      <c r="J114" s="46" t="s">
        <v>206</v>
      </c>
      <c r="K114" s="6" t="s">
        <v>194</v>
      </c>
      <c r="L114" s="25"/>
      <c r="M114" s="25"/>
      <c r="N114" s="25"/>
      <c r="O114" s="25"/>
      <c r="P114" s="25"/>
      <c r="Q114" s="25"/>
      <c r="R114" s="25"/>
      <c r="S114" s="27">
        <f t="shared" si="53"/>
        <v>10724</v>
      </c>
      <c r="T114" s="28">
        <f>IF(H114-$T$1&gt;365,S114,0)</f>
        <v>0</v>
      </c>
      <c r="U114" s="28">
        <f>IF(H114-$T$1&lt;365,S114,0)</f>
        <v>10724</v>
      </c>
      <c r="V114" s="28">
        <f>IF(H114="",S114,0)</f>
        <v>0</v>
      </c>
      <c r="W114" s="8"/>
      <c r="X114" s="28"/>
      <c r="Y114" s="28"/>
      <c r="Z114" s="28"/>
      <c r="AA114" s="28">
        <f>S114-Z114-Y114-X114</f>
        <v>10724</v>
      </c>
      <c r="AB114" s="28">
        <f>IF(H114-$AB$1&gt;365,AA114,0)</f>
        <v>0</v>
      </c>
      <c r="AC114" s="28">
        <f>IF(H114-$AB$1&lt;=365,AA114,0)</f>
        <v>10724</v>
      </c>
      <c r="AD114" s="28">
        <f>IF(H114="",AA114,0)</f>
        <v>0</v>
      </c>
      <c r="AE114" s="28">
        <f>IF(AND(H114-$AB$1&gt;365,H114-$AB$1&lt;=730),AB114,0)</f>
        <v>0</v>
      </c>
      <c r="AF114" s="28">
        <f>IF(AND(H114-$AB$1&gt;730,H114-$AB$1&lt;=1095),AB114,0)</f>
        <v>0</v>
      </c>
      <c r="AG114" s="28">
        <f>IF(AND(H114-$AB$1&gt;1095,H114-$AB$1&lt;=1825),AB114,0)</f>
        <v>0</v>
      </c>
      <c r="AH114" s="28">
        <f>IF(H114-$AB$1&gt;1825,AB114,0)</f>
        <v>0</v>
      </c>
      <c r="AJ114" s="12"/>
    </row>
    <row r="115" spans="1:36" ht="16.2" customHeight="1" x14ac:dyDescent="0.3">
      <c r="A115" s="90" t="s">
        <v>329</v>
      </c>
      <c r="B115" s="32">
        <v>1041571</v>
      </c>
      <c r="C115" s="83" t="s">
        <v>347</v>
      </c>
      <c r="D115" s="93"/>
      <c r="E115" s="22">
        <v>4596</v>
      </c>
      <c r="F115" s="22" t="s">
        <v>158</v>
      </c>
      <c r="G115" s="24">
        <v>45677</v>
      </c>
      <c r="H115" s="23">
        <v>46721</v>
      </c>
      <c r="I115" s="46">
        <v>0.3</v>
      </c>
      <c r="J115" s="46" t="s">
        <v>206</v>
      </c>
      <c r="K115" s="6" t="s">
        <v>194</v>
      </c>
      <c r="L115" s="25"/>
      <c r="M115" s="25"/>
      <c r="N115" s="25"/>
      <c r="O115" s="25"/>
      <c r="P115" s="25"/>
      <c r="Q115" s="25"/>
      <c r="R115" s="25"/>
      <c r="S115" s="27">
        <f t="shared" si="53"/>
        <v>4596</v>
      </c>
      <c r="T115" s="28">
        <f>IF(H115-$T$1&gt;365,S115,0)</f>
        <v>4596</v>
      </c>
      <c r="U115" s="28">
        <f>IF(H115-$T$1&lt;365,S115,0)</f>
        <v>0</v>
      </c>
      <c r="V115" s="28">
        <f>IF(H115="",S115,0)</f>
        <v>0</v>
      </c>
      <c r="W115" s="8"/>
      <c r="X115" s="28"/>
      <c r="Y115" s="28"/>
      <c r="Z115" s="28"/>
      <c r="AA115" s="28">
        <f>S115-Z115-Y115-X115</f>
        <v>4596</v>
      </c>
      <c r="AB115" s="28">
        <f>IF(H115-$AB$1&gt;365,AA115,0)</f>
        <v>4596</v>
      </c>
      <c r="AC115" s="28">
        <f>IF(H115-$AB$1&lt;=365,AA115,0)</f>
        <v>0</v>
      </c>
      <c r="AD115" s="28">
        <f>IF(H115="",AA115,0)</f>
        <v>0</v>
      </c>
      <c r="AE115" s="28">
        <f>IF(AND(H115-$AB$1&gt;365,H115-$AB$1&lt;=730),AB115,0)</f>
        <v>0</v>
      </c>
      <c r="AF115" s="28">
        <f>IF(AND(H115-$AB$1&gt;730,H115-$AB$1&lt;=1095),AB115,0)</f>
        <v>4596</v>
      </c>
      <c r="AG115" s="28">
        <f>IF(AND(H115-$AB$1&gt;1095,H115-$AB$1&lt;=1825),AB115,0)</f>
        <v>0</v>
      </c>
      <c r="AH115" s="28">
        <f>IF(H115-$AB$1&gt;1825,AB115,0)</f>
        <v>0</v>
      </c>
      <c r="AJ115" s="12"/>
    </row>
    <row r="116" spans="1:36" ht="16.2" customHeight="1" x14ac:dyDescent="0.3">
      <c r="A116" s="130"/>
      <c r="B116" s="131"/>
      <c r="C116" s="117"/>
      <c r="D116" s="118" t="str">
        <f>IF(W116&gt;0,"zwrócone","")</f>
        <v/>
      </c>
      <c r="E116" s="31">
        <f>SUBTOTAL(9,E114:E115)</f>
        <v>15320</v>
      </c>
      <c r="F116" s="31"/>
      <c r="G116" s="119"/>
      <c r="H116" s="120"/>
      <c r="I116" s="115"/>
      <c r="J116" s="115"/>
      <c r="K116" s="115"/>
      <c r="L116" s="31">
        <f>SUBTOTAL(9,L114:L115)</f>
        <v>0</v>
      </c>
      <c r="M116" s="31">
        <f>SUBTOTAL(9,M114:M115)</f>
        <v>0</v>
      </c>
      <c r="N116" s="31">
        <f>SUBTOTAL(9,N114:N115)</f>
        <v>0</v>
      </c>
      <c r="O116" s="31">
        <f>SUBTOTAL(9,O114:O115)</f>
        <v>0</v>
      </c>
      <c r="P116" s="31">
        <f>SUBTOTAL(9,P114:P115)</f>
        <v>0</v>
      </c>
      <c r="Q116" s="31">
        <f t="shared" ref="Q116:V116" si="86">SUBTOTAL(9,Q114:Q115)</f>
        <v>0</v>
      </c>
      <c r="R116" s="31"/>
      <c r="S116" s="31">
        <f t="shared" si="53"/>
        <v>15320</v>
      </c>
      <c r="T116" s="31">
        <f t="shared" si="86"/>
        <v>4596</v>
      </c>
      <c r="U116" s="31">
        <f t="shared" si="86"/>
        <v>10724</v>
      </c>
      <c r="V116" s="31">
        <f t="shared" si="86"/>
        <v>0</v>
      </c>
      <c r="W116" s="31"/>
      <c r="X116" s="31">
        <f>SUBTOTAL(9,X114:X115)</f>
        <v>0</v>
      </c>
      <c r="Y116" s="31">
        <f>SUBTOTAL(9,Y114:Y115)</f>
        <v>0</v>
      </c>
      <c r="Z116" s="31">
        <f>SUBTOTAL(9,Z114:Z115)</f>
        <v>0</v>
      </c>
      <c r="AA116" s="31">
        <f>SUBTOTAL(9,AA114:AA115)</f>
        <v>15320</v>
      </c>
      <c r="AB116" s="31">
        <f t="shared" ref="AB116:AH116" si="87">SUBTOTAL(9,AB114:AB115)</f>
        <v>4596</v>
      </c>
      <c r="AC116" s="31">
        <f t="shared" si="87"/>
        <v>10724</v>
      </c>
      <c r="AD116" s="31">
        <f t="shared" si="87"/>
        <v>0</v>
      </c>
      <c r="AE116" s="31">
        <f t="shared" si="87"/>
        <v>0</v>
      </c>
      <c r="AF116" s="31">
        <f t="shared" si="87"/>
        <v>4596</v>
      </c>
      <c r="AG116" s="31">
        <f t="shared" si="87"/>
        <v>0</v>
      </c>
      <c r="AH116" s="31">
        <f t="shared" si="87"/>
        <v>0</v>
      </c>
      <c r="AJ116" s="12"/>
    </row>
    <row r="117" spans="1:36" ht="16.2" customHeight="1" x14ac:dyDescent="0.3">
      <c r="A117" s="6" t="s">
        <v>36</v>
      </c>
      <c r="B117" s="20">
        <v>1041622</v>
      </c>
      <c r="C117" s="83" t="s">
        <v>37</v>
      </c>
      <c r="D117" s="93" t="str">
        <f t="shared" ref="D117:D125" si="88">IF(W117&gt;0,"zwrócone","")</f>
        <v/>
      </c>
      <c r="E117" s="22">
        <f>1996*30%</f>
        <v>598.79999999999995</v>
      </c>
      <c r="F117" s="22"/>
      <c r="G117" s="24">
        <v>43788</v>
      </c>
      <c r="H117" s="23">
        <v>46012</v>
      </c>
      <c r="I117" s="46">
        <v>0.3</v>
      </c>
      <c r="J117" s="46" t="s">
        <v>257</v>
      </c>
      <c r="K117" s="6" t="s">
        <v>197</v>
      </c>
      <c r="L117" s="25">
        <v>0.78999999999996362</v>
      </c>
      <c r="M117" s="25">
        <v>1.64</v>
      </c>
      <c r="N117" s="25">
        <v>0.22</v>
      </c>
      <c r="O117" s="25">
        <v>30.11</v>
      </c>
      <c r="P117" s="25">
        <f>ROUND(((E117*6.01%)/365)*365,2)</f>
        <v>35.99</v>
      </c>
      <c r="Q117" s="25">
        <f>ROUND((E117*5.31%),2)</f>
        <v>31.8</v>
      </c>
      <c r="R117" s="25"/>
      <c r="S117" s="27">
        <f t="shared" si="53"/>
        <v>699.34999999999991</v>
      </c>
      <c r="T117" s="28">
        <f>IF(H117-$T$1&gt;365,S117,0)</f>
        <v>0</v>
      </c>
      <c r="U117" s="28">
        <f>IF(H117-$T$1&lt;365,S117,0)</f>
        <v>699.34999999999991</v>
      </c>
      <c r="V117" s="28">
        <f>IF(H117="",S117,0)</f>
        <v>0</v>
      </c>
      <c r="W117" s="8"/>
      <c r="X117" s="28"/>
      <c r="Y117" s="28"/>
      <c r="Z117" s="28"/>
      <c r="AA117" s="28">
        <f>S117-Z117-Y117-X117</f>
        <v>699.34999999999991</v>
      </c>
      <c r="AB117" s="28">
        <f>IF(H117-$AB$1&gt;365,AA117,0)</f>
        <v>0</v>
      </c>
      <c r="AC117" s="28">
        <f>IF(H117-$AB$1&lt;=365,AA117,0)</f>
        <v>699.34999999999991</v>
      </c>
      <c r="AD117" s="28">
        <f>IF(H117="",AA117,0)</f>
        <v>0</v>
      </c>
      <c r="AE117" s="28">
        <f>IF(AND(H117-$AB$1&gt;365,H117-$AB$1&lt;=730),AB117,0)</f>
        <v>0</v>
      </c>
      <c r="AF117" s="28">
        <f>IF(AND(H117-$AB$1&gt;730,H117-$AB$1&lt;=1095),AB117,0)</f>
        <v>0</v>
      </c>
      <c r="AG117" s="28">
        <f>IF(AND(H117-$AB$1&gt;1095,H117-$AB$1&lt;=1825),AB117,0)</f>
        <v>0</v>
      </c>
      <c r="AH117" s="28">
        <f>IF(H117-$AB$1&gt;1825,AB117,0)</f>
        <v>0</v>
      </c>
    </row>
    <row r="118" spans="1:36" ht="16.2" customHeight="1" x14ac:dyDescent="0.3">
      <c r="A118" s="115"/>
      <c r="B118" s="116"/>
      <c r="C118" s="117"/>
      <c r="D118" s="118" t="str">
        <f t="shared" si="88"/>
        <v/>
      </c>
      <c r="E118" s="31">
        <f>SUBTOTAL(9,E117:E117)</f>
        <v>598.79999999999995</v>
      </c>
      <c r="F118" s="31"/>
      <c r="G118" s="119"/>
      <c r="H118" s="120"/>
      <c r="I118" s="115"/>
      <c r="J118" s="115"/>
      <c r="K118" s="115"/>
      <c r="L118" s="31">
        <f t="shared" ref="L118:Q118" si="89">SUBTOTAL(9,L117:L117)</f>
        <v>0.78999999999996362</v>
      </c>
      <c r="M118" s="31">
        <f t="shared" si="89"/>
        <v>1.64</v>
      </c>
      <c r="N118" s="31">
        <f t="shared" si="89"/>
        <v>0.22</v>
      </c>
      <c r="O118" s="31">
        <f t="shared" si="89"/>
        <v>30.11</v>
      </c>
      <c r="P118" s="31">
        <f t="shared" si="89"/>
        <v>35.99</v>
      </c>
      <c r="Q118" s="31">
        <f t="shared" si="89"/>
        <v>31.8</v>
      </c>
      <c r="R118" s="31"/>
      <c r="S118" s="31">
        <f t="shared" si="53"/>
        <v>699.34999999999991</v>
      </c>
      <c r="T118" s="31">
        <f>SUBTOTAL(9,T117:T117)</f>
        <v>0</v>
      </c>
      <c r="U118" s="31">
        <f>SUBTOTAL(9,U117:U117)</f>
        <v>699.34999999999991</v>
      </c>
      <c r="V118" s="31">
        <f>SUBTOTAL(9,V117:V117)</f>
        <v>0</v>
      </c>
      <c r="W118" s="31"/>
      <c r="X118" s="31">
        <f t="shared" ref="X118:AH118" si="90">SUBTOTAL(9,X117:X117)</f>
        <v>0</v>
      </c>
      <c r="Y118" s="31">
        <f t="shared" si="90"/>
        <v>0</v>
      </c>
      <c r="Z118" s="31">
        <f t="shared" si="90"/>
        <v>0</v>
      </c>
      <c r="AA118" s="31">
        <f t="shared" si="90"/>
        <v>699.34999999999991</v>
      </c>
      <c r="AB118" s="31">
        <f t="shared" si="90"/>
        <v>0</v>
      </c>
      <c r="AC118" s="31">
        <f t="shared" si="90"/>
        <v>699.34999999999991</v>
      </c>
      <c r="AD118" s="31">
        <f t="shared" si="90"/>
        <v>0</v>
      </c>
      <c r="AE118" s="31">
        <f t="shared" si="90"/>
        <v>0</v>
      </c>
      <c r="AF118" s="31">
        <f t="shared" si="90"/>
        <v>0</v>
      </c>
      <c r="AG118" s="31">
        <f t="shared" si="90"/>
        <v>0</v>
      </c>
      <c r="AH118" s="31">
        <f t="shared" si="90"/>
        <v>0</v>
      </c>
      <c r="AJ118" s="12"/>
    </row>
    <row r="119" spans="1:36" ht="16.2" customHeight="1" x14ac:dyDescent="0.3">
      <c r="A119" s="6" t="s">
        <v>239</v>
      </c>
      <c r="B119" s="20">
        <v>1041738</v>
      </c>
      <c r="C119" s="83" t="s">
        <v>262</v>
      </c>
      <c r="D119" s="93" t="str">
        <f>IF(W119&gt;0,"zwrócone","")</f>
        <v/>
      </c>
      <c r="E119" s="22">
        <v>3090</v>
      </c>
      <c r="F119" s="22" t="s">
        <v>158</v>
      </c>
      <c r="G119" s="24">
        <v>45252</v>
      </c>
      <c r="H119" s="23">
        <v>46691</v>
      </c>
      <c r="I119" s="46">
        <v>0.3</v>
      </c>
      <c r="J119" s="6" t="s">
        <v>206</v>
      </c>
      <c r="K119" s="6" t="s">
        <v>204</v>
      </c>
      <c r="L119" s="25"/>
      <c r="M119" s="25"/>
      <c r="N119" s="25"/>
      <c r="O119" s="25"/>
      <c r="P119" s="25"/>
      <c r="Q119" s="25"/>
      <c r="R119" s="25"/>
      <c r="S119" s="27">
        <f t="shared" si="53"/>
        <v>3090</v>
      </c>
      <c r="T119" s="28">
        <f>IF(H119-$T$1&gt;365,S119,0)</f>
        <v>3090</v>
      </c>
      <c r="U119" s="28">
        <f>IF(H119-$T$1&lt;365,S119,0)</f>
        <v>0</v>
      </c>
      <c r="V119" s="28">
        <f>IF(H119="",S119,0)</f>
        <v>0</v>
      </c>
      <c r="W119" s="8"/>
      <c r="X119" s="28"/>
      <c r="Y119" s="28"/>
      <c r="Z119" s="28"/>
      <c r="AA119" s="28">
        <f>S119-Z119-Y119-X119</f>
        <v>3090</v>
      </c>
      <c r="AB119" s="28">
        <f>IF(H119-$AB$1&gt;365,AA119,0)</f>
        <v>3090</v>
      </c>
      <c r="AC119" s="28">
        <f>IF(H119-$AB$1&lt;=365,AA119,0)</f>
        <v>0</v>
      </c>
      <c r="AD119" s="28">
        <f>IF(H119="",AA119,0)</f>
        <v>0</v>
      </c>
      <c r="AE119" s="28">
        <f>IF(AND(H119-$AB$1&gt;365,H119-$AB$1&lt;=730),AB119,0)</f>
        <v>0</v>
      </c>
      <c r="AF119" s="28">
        <f>IF(AND(H119-$AB$1&gt;730,H119-$AB$1&lt;=1095),AB119,0)</f>
        <v>3090</v>
      </c>
      <c r="AG119" s="28">
        <f>IF(AND(H119-$AB$1&gt;1095,H119-$AB$1&lt;=1825),AB119,0)</f>
        <v>0</v>
      </c>
      <c r="AH119" s="28">
        <f>IF(H119-$AB$1&gt;1825,AB119,0)</f>
        <v>0</v>
      </c>
      <c r="AJ119" s="12"/>
    </row>
    <row r="120" spans="1:36" ht="16.2" customHeight="1" x14ac:dyDescent="0.3">
      <c r="A120" s="85" t="s">
        <v>239</v>
      </c>
      <c r="B120" s="183">
        <v>1041738</v>
      </c>
      <c r="C120" s="157" t="s">
        <v>240</v>
      </c>
      <c r="D120" s="158" t="str">
        <f>IF(W120&gt;0,"zwrócone","")</f>
        <v>zwrócone</v>
      </c>
      <c r="E120" s="159">
        <v>2520</v>
      </c>
      <c r="F120" s="159" t="s">
        <v>158</v>
      </c>
      <c r="G120" s="160">
        <v>45156</v>
      </c>
      <c r="H120" s="84">
        <v>45866</v>
      </c>
      <c r="I120" s="46">
        <v>0.3</v>
      </c>
      <c r="J120" s="6" t="s">
        <v>206</v>
      </c>
      <c r="K120" s="6" t="s">
        <v>204</v>
      </c>
      <c r="L120" s="25"/>
      <c r="M120" s="25"/>
      <c r="N120" s="25"/>
      <c r="O120" s="25"/>
      <c r="P120" s="25"/>
      <c r="Q120" s="25"/>
      <c r="R120" s="25"/>
      <c r="S120" s="27">
        <f t="shared" si="53"/>
        <v>2520</v>
      </c>
      <c r="T120" s="28">
        <f>IF(H120-$T$1&gt;365,S120,0)</f>
        <v>0</v>
      </c>
      <c r="U120" s="28">
        <f>IF(H120-$T$1&lt;365,S120,0)</f>
        <v>2520</v>
      </c>
      <c r="V120" s="28">
        <f>IF(H120="",S120,0)</f>
        <v>0</v>
      </c>
      <c r="W120" s="37">
        <v>45866</v>
      </c>
      <c r="X120" s="28"/>
      <c r="Y120" s="28"/>
      <c r="Z120" s="28">
        <v>2520</v>
      </c>
      <c r="AA120" s="28">
        <f>S120-Z120-Y120-X120</f>
        <v>0</v>
      </c>
      <c r="AB120" s="28">
        <f>IF(H120-$AB$1&gt;365,AA120,0)</f>
        <v>0</v>
      </c>
      <c r="AC120" s="28">
        <f>IF(H120-$AB$1&lt;=365,AA120,0)</f>
        <v>0</v>
      </c>
      <c r="AD120" s="28">
        <f>IF(H120="",AA120,0)</f>
        <v>0</v>
      </c>
      <c r="AE120" s="28">
        <f>IF(AND(H120-$AB$1&gt;365,H120-$AB$1&lt;=730),AB120,0)</f>
        <v>0</v>
      </c>
      <c r="AF120" s="28">
        <f>IF(AND(H120-$AB$1&gt;730,H120-$AB$1&lt;=1095),AB120,0)</f>
        <v>0</v>
      </c>
      <c r="AG120" s="28">
        <f>IF(AND(H120-$AB$1&gt;1095,H120-$AB$1&lt;=1825),AB120,0)</f>
        <v>0</v>
      </c>
      <c r="AH120" s="28">
        <f>IF(H120-$AB$1&gt;1825,AB120,0)</f>
        <v>0</v>
      </c>
      <c r="AJ120" s="12"/>
    </row>
    <row r="121" spans="1:36" ht="16.2" customHeight="1" x14ac:dyDescent="0.3">
      <c r="A121" s="115"/>
      <c r="B121" s="116"/>
      <c r="C121" s="117"/>
      <c r="D121" s="118" t="str">
        <f>IF(W121&gt;0,"zwrócone","")</f>
        <v/>
      </c>
      <c r="E121" s="31">
        <f>SUBTOTAL(9,E119:E120)</f>
        <v>5610</v>
      </c>
      <c r="F121" s="31"/>
      <c r="G121" s="119"/>
      <c r="H121" s="120"/>
      <c r="I121" s="115"/>
      <c r="J121" s="115"/>
      <c r="K121" s="115"/>
      <c r="L121" s="31">
        <f t="shared" ref="L121:V121" si="91">SUBTOTAL(9,L119:L120)</f>
        <v>0</v>
      </c>
      <c r="M121" s="31">
        <f t="shared" si="91"/>
        <v>0</v>
      </c>
      <c r="N121" s="31">
        <f t="shared" si="91"/>
        <v>0</v>
      </c>
      <c r="O121" s="31">
        <f t="shared" si="91"/>
        <v>0</v>
      </c>
      <c r="P121" s="31">
        <f t="shared" si="91"/>
        <v>0</v>
      </c>
      <c r="Q121" s="31">
        <f t="shared" si="91"/>
        <v>0</v>
      </c>
      <c r="R121" s="31"/>
      <c r="S121" s="31">
        <f t="shared" si="53"/>
        <v>5610</v>
      </c>
      <c r="T121" s="31">
        <f t="shared" si="91"/>
        <v>3090</v>
      </c>
      <c r="U121" s="31">
        <f t="shared" si="91"/>
        <v>2520</v>
      </c>
      <c r="V121" s="31">
        <f t="shared" si="91"/>
        <v>0</v>
      </c>
      <c r="W121" s="31"/>
      <c r="X121" s="31">
        <f t="shared" ref="X121:AH121" si="92">SUBTOTAL(9,X119:X120)</f>
        <v>0</v>
      </c>
      <c r="Y121" s="31">
        <f t="shared" si="92"/>
        <v>0</v>
      </c>
      <c r="Z121" s="31">
        <f t="shared" si="92"/>
        <v>2520</v>
      </c>
      <c r="AA121" s="31">
        <f t="shared" si="92"/>
        <v>3090</v>
      </c>
      <c r="AB121" s="31">
        <f t="shared" si="92"/>
        <v>3090</v>
      </c>
      <c r="AC121" s="31">
        <f t="shared" si="92"/>
        <v>0</v>
      </c>
      <c r="AD121" s="31">
        <f t="shared" si="92"/>
        <v>0</v>
      </c>
      <c r="AE121" s="31">
        <f t="shared" si="92"/>
        <v>0</v>
      </c>
      <c r="AF121" s="31">
        <f t="shared" si="92"/>
        <v>3090</v>
      </c>
      <c r="AG121" s="31">
        <f t="shared" si="92"/>
        <v>0</v>
      </c>
      <c r="AH121" s="31">
        <f t="shared" si="92"/>
        <v>0</v>
      </c>
      <c r="AJ121" s="12"/>
    </row>
    <row r="122" spans="1:36" ht="16.2" customHeight="1" x14ac:dyDescent="0.3">
      <c r="A122" s="85" t="s">
        <v>38</v>
      </c>
      <c r="B122" s="183">
        <v>1041775</v>
      </c>
      <c r="C122" s="157" t="s">
        <v>39</v>
      </c>
      <c r="D122" s="158" t="str">
        <f t="shared" si="88"/>
        <v>zwrócone</v>
      </c>
      <c r="E122" s="159">
        <f>16860*30%</f>
        <v>5058</v>
      </c>
      <c r="F122" s="159"/>
      <c r="G122" s="160">
        <v>43928</v>
      </c>
      <c r="H122" s="84">
        <v>45888</v>
      </c>
      <c r="I122" s="46">
        <v>0.3</v>
      </c>
      <c r="J122" s="46" t="s">
        <v>257</v>
      </c>
      <c r="K122" s="6" t="s">
        <v>197</v>
      </c>
      <c r="L122" s="25"/>
      <c r="M122" s="25"/>
      <c r="N122" s="25">
        <v>1.4</v>
      </c>
      <c r="O122" s="25">
        <v>254.36</v>
      </c>
      <c r="P122" s="25">
        <f>ROUND(((E122*6.01%)/365)*365,2)</f>
        <v>303.99</v>
      </c>
      <c r="Q122" s="25">
        <f>ROUND((E122*5.31%),2)</f>
        <v>268.58</v>
      </c>
      <c r="R122" s="25">
        <f>ROUND(((E122*5.15%)/365)*240,2)</f>
        <v>171.28</v>
      </c>
      <c r="S122" s="27">
        <f t="shared" si="53"/>
        <v>6057.6099999999988</v>
      </c>
      <c r="T122" s="28">
        <f>IF(H122-$T$1&gt;365,S122,0)</f>
        <v>0</v>
      </c>
      <c r="U122" s="28">
        <f>IF(H122-$T$1&lt;365,S122,0)</f>
        <v>6057.6099999999988</v>
      </c>
      <c r="V122" s="28">
        <f>IF(H122="",S122,0)</f>
        <v>0</v>
      </c>
      <c r="W122" s="37">
        <v>45898</v>
      </c>
      <c r="X122" s="28">
        <v>828.33</v>
      </c>
      <c r="Y122" s="28">
        <v>171.28</v>
      </c>
      <c r="Z122" s="28">
        <v>5058</v>
      </c>
      <c r="AA122" s="28">
        <f>S122-Z122-Y122-X122</f>
        <v>-1.2505552149377763E-12</v>
      </c>
      <c r="AB122" s="28">
        <f>IF(H122-$AB$1&gt;365,AA122,0)</f>
        <v>0</v>
      </c>
      <c r="AC122" s="28">
        <f>IF(H122-$AB$1&lt;=365,AA122,0)</f>
        <v>-1.2505552149377763E-12</v>
      </c>
      <c r="AD122" s="28">
        <f>IF(H122="",AA122,0)</f>
        <v>0</v>
      </c>
      <c r="AE122" s="28">
        <f>IF(AND(H122-$AB$1&gt;365,H122-$AB$1&lt;=730),AB122,0)</f>
        <v>0</v>
      </c>
      <c r="AF122" s="28">
        <f>IF(AND(H122-$AB$1&gt;730,H122-$AB$1&lt;=1095),AB122,0)</f>
        <v>0</v>
      </c>
      <c r="AG122" s="28">
        <f>IF(AND(H122-$AB$1&gt;1095,H122-$AB$1&lt;=1825),AB122,0)</f>
        <v>0</v>
      </c>
      <c r="AH122" s="28">
        <f>IF(H122-$AB$1&gt;1825,AB122,0)</f>
        <v>0</v>
      </c>
    </row>
    <row r="123" spans="1:36" ht="16.2" customHeight="1" x14ac:dyDescent="0.3">
      <c r="A123" s="115"/>
      <c r="B123" s="116"/>
      <c r="C123" s="117"/>
      <c r="D123" s="118" t="str">
        <f t="shared" si="88"/>
        <v/>
      </c>
      <c r="E123" s="31">
        <f>SUBTOTAL(9,E122:E122)</f>
        <v>5058</v>
      </c>
      <c r="F123" s="31"/>
      <c r="G123" s="119"/>
      <c r="H123" s="120"/>
      <c r="I123" s="115"/>
      <c r="J123" s="115"/>
      <c r="K123" s="115"/>
      <c r="L123" s="31">
        <f t="shared" ref="L123:Q123" si="93">SUBTOTAL(9,L122:L122)</f>
        <v>0</v>
      </c>
      <c r="M123" s="31">
        <f t="shared" si="93"/>
        <v>0</v>
      </c>
      <c r="N123" s="31">
        <f t="shared" si="93"/>
        <v>1.4</v>
      </c>
      <c r="O123" s="31">
        <f t="shared" si="93"/>
        <v>254.36</v>
      </c>
      <c r="P123" s="31">
        <f t="shared" si="93"/>
        <v>303.99</v>
      </c>
      <c r="Q123" s="31">
        <f t="shared" si="93"/>
        <v>268.58</v>
      </c>
      <c r="R123" s="31"/>
      <c r="S123" s="31">
        <f t="shared" si="53"/>
        <v>5886.329999999999</v>
      </c>
      <c r="T123" s="31">
        <f>SUBTOTAL(9,T122:T122)</f>
        <v>0</v>
      </c>
      <c r="U123" s="31">
        <f>SUBTOTAL(9,U122:U122)</f>
        <v>6057.6099999999988</v>
      </c>
      <c r="V123" s="31">
        <f>SUBTOTAL(9,V122:V122)</f>
        <v>0</v>
      </c>
      <c r="W123" s="31"/>
      <c r="X123" s="31">
        <f t="shared" ref="X123:AH123" si="94">SUBTOTAL(9,X122:X122)</f>
        <v>828.33</v>
      </c>
      <c r="Y123" s="31">
        <f t="shared" si="94"/>
        <v>171.28</v>
      </c>
      <c r="Z123" s="31">
        <f t="shared" si="94"/>
        <v>5058</v>
      </c>
      <c r="AA123" s="31">
        <f t="shared" si="94"/>
        <v>-1.2505552149377763E-12</v>
      </c>
      <c r="AB123" s="31">
        <f t="shared" si="94"/>
        <v>0</v>
      </c>
      <c r="AC123" s="31">
        <f t="shared" si="94"/>
        <v>-1.2505552149377763E-12</v>
      </c>
      <c r="AD123" s="31">
        <f t="shared" si="94"/>
        <v>0</v>
      </c>
      <c r="AE123" s="31">
        <f t="shared" si="94"/>
        <v>0</v>
      </c>
      <c r="AF123" s="31">
        <f t="shared" si="94"/>
        <v>0</v>
      </c>
      <c r="AG123" s="31">
        <f t="shared" si="94"/>
        <v>0</v>
      </c>
      <c r="AH123" s="31">
        <f t="shared" si="94"/>
        <v>0</v>
      </c>
      <c r="AJ123" s="12"/>
    </row>
    <row r="124" spans="1:36" ht="16.2" customHeight="1" x14ac:dyDescent="0.3">
      <c r="A124" s="85" t="s">
        <v>40</v>
      </c>
      <c r="B124" s="183">
        <v>1041881</v>
      </c>
      <c r="C124" s="157" t="s">
        <v>41</v>
      </c>
      <c r="D124" s="158" t="s">
        <v>356</v>
      </c>
      <c r="E124" s="159">
        <v>1219.75</v>
      </c>
      <c r="F124" s="159"/>
      <c r="G124" s="160">
        <v>42277</v>
      </c>
      <c r="H124" s="84">
        <v>44105</v>
      </c>
      <c r="I124" s="6"/>
      <c r="J124" s="6"/>
      <c r="K124" s="6" t="s">
        <v>219</v>
      </c>
      <c r="L124" s="25"/>
      <c r="M124" s="25"/>
      <c r="N124" s="25"/>
      <c r="O124" s="25"/>
      <c r="P124" s="25"/>
      <c r="Q124" s="25"/>
      <c r="R124" s="25"/>
      <c r="S124" s="27">
        <f t="shared" si="53"/>
        <v>1219.75</v>
      </c>
      <c r="T124" s="28">
        <f>IF(H124-$T$1&gt;365,S124,0)</f>
        <v>0</v>
      </c>
      <c r="U124" s="28">
        <f>IF(H124-$T$1&lt;365,S124,0)</f>
        <v>1219.75</v>
      </c>
      <c r="V124" s="28">
        <f>IF(H124="",S124,0)</f>
        <v>0</v>
      </c>
      <c r="W124" s="37">
        <v>45688</v>
      </c>
      <c r="X124" s="28"/>
      <c r="Y124" s="28"/>
      <c r="Z124" s="28">
        <v>1219.75</v>
      </c>
      <c r="AA124" s="28">
        <f>S124-Z124-Y124-X124</f>
        <v>0</v>
      </c>
      <c r="AB124" s="28">
        <f>IF(H124-$AB$1&gt;365,AA124,0)</f>
        <v>0</v>
      </c>
      <c r="AC124" s="28">
        <f>IF(H124-$AB$1&lt;=365,AA124,0)</f>
        <v>0</v>
      </c>
      <c r="AD124" s="28">
        <f>IF(H124="",AA124,0)</f>
        <v>0</v>
      </c>
      <c r="AE124" s="28">
        <f>IF(AND(H124-$AB$1&gt;365,H124-$AB$1&lt;=730),AB124,0)</f>
        <v>0</v>
      </c>
      <c r="AF124" s="28">
        <f>IF(AND(H124-$AB$1&gt;730,H124-$AB$1&lt;=1095),AB124,0)</f>
        <v>0</v>
      </c>
      <c r="AG124" s="28">
        <f>IF(AND(H124-$AB$1&gt;1095,H124-$AB$1&lt;=1825),AB124,0)</f>
        <v>0</v>
      </c>
      <c r="AH124" s="28">
        <f>IF(H124-$AB$1&gt;1825,AB124,0)</f>
        <v>0</v>
      </c>
    </row>
    <row r="125" spans="1:36" ht="16.2" customHeight="1" x14ac:dyDescent="0.3">
      <c r="A125" s="115"/>
      <c r="B125" s="116"/>
      <c r="C125" s="117"/>
      <c r="D125" s="118" t="str">
        <f t="shared" si="88"/>
        <v/>
      </c>
      <c r="E125" s="31">
        <f>SUBTOTAL(9,E124)</f>
        <v>1219.75</v>
      </c>
      <c r="F125" s="31"/>
      <c r="G125" s="119"/>
      <c r="H125" s="120"/>
      <c r="I125" s="115"/>
      <c r="J125" s="115"/>
      <c r="K125" s="115"/>
      <c r="L125" s="31">
        <f t="shared" ref="L125:Q125" si="95">SUBTOTAL(9,L124)</f>
        <v>0</v>
      </c>
      <c r="M125" s="31">
        <f t="shared" si="95"/>
        <v>0</v>
      </c>
      <c r="N125" s="31">
        <f t="shared" si="95"/>
        <v>0</v>
      </c>
      <c r="O125" s="31">
        <f t="shared" si="95"/>
        <v>0</v>
      </c>
      <c r="P125" s="31">
        <f t="shared" si="95"/>
        <v>0</v>
      </c>
      <c r="Q125" s="31">
        <f t="shared" si="95"/>
        <v>0</v>
      </c>
      <c r="R125" s="31"/>
      <c r="S125" s="31">
        <f t="shared" si="53"/>
        <v>1219.75</v>
      </c>
      <c r="T125" s="31">
        <f>SUBTOTAL(9,T124)</f>
        <v>0</v>
      </c>
      <c r="U125" s="31">
        <f>SUBTOTAL(9,U124)</f>
        <v>1219.75</v>
      </c>
      <c r="V125" s="31">
        <f>SUBTOTAL(9,V124)</f>
        <v>0</v>
      </c>
      <c r="W125" s="31"/>
      <c r="X125" s="31">
        <f t="shared" ref="X125:AH125" si="96">SUBTOTAL(9,X124)</f>
        <v>0</v>
      </c>
      <c r="Y125" s="31">
        <f t="shared" si="96"/>
        <v>0</v>
      </c>
      <c r="Z125" s="31">
        <f t="shared" si="96"/>
        <v>1219.75</v>
      </c>
      <c r="AA125" s="31">
        <f t="shared" si="96"/>
        <v>0</v>
      </c>
      <c r="AB125" s="31">
        <f t="shared" si="96"/>
        <v>0</v>
      </c>
      <c r="AC125" s="31">
        <f t="shared" si="96"/>
        <v>0</v>
      </c>
      <c r="AD125" s="31">
        <f t="shared" si="96"/>
        <v>0</v>
      </c>
      <c r="AE125" s="31">
        <f t="shared" si="96"/>
        <v>0</v>
      </c>
      <c r="AF125" s="31">
        <f t="shared" si="96"/>
        <v>0</v>
      </c>
      <c r="AG125" s="31">
        <f t="shared" si="96"/>
        <v>0</v>
      </c>
      <c r="AH125" s="31">
        <f t="shared" si="96"/>
        <v>0</v>
      </c>
      <c r="AJ125" s="12"/>
    </row>
    <row r="126" spans="1:36" ht="16.2" customHeight="1" x14ac:dyDescent="0.3">
      <c r="A126" s="85" t="s">
        <v>42</v>
      </c>
      <c r="B126" s="183">
        <v>1043336</v>
      </c>
      <c r="C126" s="157" t="s">
        <v>120</v>
      </c>
      <c r="D126" s="158" t="str">
        <f t="shared" ref="D126:D143" si="97">IF(W126&gt;0,"zwrócone","")</f>
        <v>zwrócone</v>
      </c>
      <c r="E126" s="159">
        <v>3905.28</v>
      </c>
      <c r="F126" s="159"/>
      <c r="G126" s="160">
        <v>44359</v>
      </c>
      <c r="H126" s="84">
        <v>45672</v>
      </c>
      <c r="I126" s="46">
        <v>0.3</v>
      </c>
      <c r="J126" s="46" t="s">
        <v>206</v>
      </c>
      <c r="K126" s="6" t="s">
        <v>203</v>
      </c>
      <c r="L126" s="25"/>
      <c r="M126" s="25"/>
      <c r="N126" s="25"/>
      <c r="O126" s="25"/>
      <c r="P126" s="25"/>
      <c r="Q126" s="25"/>
      <c r="R126" s="25"/>
      <c r="S126" s="27">
        <f t="shared" si="53"/>
        <v>3905.28</v>
      </c>
      <c r="T126" s="28"/>
      <c r="U126" s="28"/>
      <c r="V126" s="28"/>
      <c r="W126" s="37">
        <v>45730</v>
      </c>
      <c r="X126" s="28"/>
      <c r="Y126" s="28"/>
      <c r="Z126" s="28">
        <v>3905.28</v>
      </c>
      <c r="AA126" s="28">
        <f>S126-Z126-Y126-X126</f>
        <v>0</v>
      </c>
      <c r="AB126" s="28">
        <f>IF(H126-$AB$1&gt;365,AA126,0)</f>
        <v>0</v>
      </c>
      <c r="AC126" s="28">
        <f>IF(H126-$AB$1&lt;=365,AA126,0)</f>
        <v>0</v>
      </c>
      <c r="AD126" s="28">
        <f>IF(H126="",AA126,0)</f>
        <v>0</v>
      </c>
      <c r="AE126" s="28">
        <f>IF(AND(H126-$AB$1&gt;365,H126-$AB$1&lt;=730),AB126,0)</f>
        <v>0</v>
      </c>
      <c r="AF126" s="28">
        <f>IF(AND(H126-$AB$1&gt;730,H126-$AB$1&lt;=1095),AB126,0)</f>
        <v>0</v>
      </c>
      <c r="AG126" s="28">
        <f>IF(AND(H126-$AB$1&gt;1095,H126-$AB$1&lt;=1825),AB126,0)</f>
        <v>0</v>
      </c>
      <c r="AH126" s="28">
        <f>IF(H126-$AB$1&gt;1825,AB126,0)</f>
        <v>0</v>
      </c>
    </row>
    <row r="127" spans="1:36" ht="16.2" customHeight="1" x14ac:dyDescent="0.3">
      <c r="A127" s="85" t="s">
        <v>42</v>
      </c>
      <c r="B127" s="183">
        <v>1043336</v>
      </c>
      <c r="C127" s="157" t="s">
        <v>215</v>
      </c>
      <c r="D127" s="158" t="str">
        <f t="shared" si="97"/>
        <v>zwrócone</v>
      </c>
      <c r="E127" s="159">
        <v>5430.78</v>
      </c>
      <c r="F127" s="159" t="s">
        <v>158</v>
      </c>
      <c r="G127" s="160">
        <v>45051</v>
      </c>
      <c r="H127" s="84">
        <v>45771</v>
      </c>
      <c r="I127" s="112">
        <v>0.3</v>
      </c>
      <c r="J127" s="112" t="s">
        <v>206</v>
      </c>
      <c r="K127" s="6" t="s">
        <v>203</v>
      </c>
      <c r="L127" s="25"/>
      <c r="M127" s="25"/>
      <c r="N127" s="25"/>
      <c r="O127" s="25"/>
      <c r="P127" s="25"/>
      <c r="Q127" s="25"/>
      <c r="R127" s="25"/>
      <c r="S127" s="27">
        <f t="shared" si="53"/>
        <v>5430.78</v>
      </c>
      <c r="T127" s="28"/>
      <c r="U127" s="28"/>
      <c r="V127" s="28"/>
      <c r="W127" s="37">
        <v>45777</v>
      </c>
      <c r="X127" s="28"/>
      <c r="Y127" s="28"/>
      <c r="Z127" s="28">
        <v>5430.78</v>
      </c>
      <c r="AA127" s="28">
        <f>S127-Z127-Y127-X127</f>
        <v>0</v>
      </c>
      <c r="AB127" s="28">
        <f>IF(H127-$AB$1&gt;365,AA127,0)</f>
        <v>0</v>
      </c>
      <c r="AC127" s="28">
        <f>IF(H127-$AB$1&lt;=365,AA127,0)</f>
        <v>0</v>
      </c>
      <c r="AD127" s="28">
        <f>IF(H127="",AA127,0)</f>
        <v>0</v>
      </c>
      <c r="AE127" s="28">
        <f>IF(AND(H127-$AB$1&gt;365,H127-$AB$1&lt;=730),AB127,0)</f>
        <v>0</v>
      </c>
      <c r="AF127" s="28">
        <f>IF(AND(H127-$AB$1&gt;730,H127-$AB$1&lt;=1095),AB127,0)</f>
        <v>0</v>
      </c>
      <c r="AG127" s="28">
        <f>IF(AND(H127-$AB$1&gt;1095,H127-$AB$1&lt;=1825),AB127,0)</f>
        <v>0</v>
      </c>
      <c r="AH127" s="28">
        <f>IF(H127-$AB$1&gt;1825,AB127,0)</f>
        <v>0</v>
      </c>
      <c r="AJ127" s="12"/>
    </row>
    <row r="128" spans="1:36" ht="16.2" customHeight="1" x14ac:dyDescent="0.3">
      <c r="A128" s="6" t="s">
        <v>42</v>
      </c>
      <c r="B128" s="20">
        <v>1043336</v>
      </c>
      <c r="C128" s="83" t="s">
        <v>255</v>
      </c>
      <c r="D128" s="93" t="str">
        <f t="shared" si="97"/>
        <v/>
      </c>
      <c r="E128" s="22">
        <v>5771.22</v>
      </c>
      <c r="F128" s="22" t="s">
        <v>158</v>
      </c>
      <c r="G128" s="24">
        <v>45203</v>
      </c>
      <c r="H128" s="23">
        <v>46417</v>
      </c>
      <c r="I128" s="112">
        <v>0.3</v>
      </c>
      <c r="J128" s="112" t="s">
        <v>206</v>
      </c>
      <c r="K128" s="6" t="s">
        <v>203</v>
      </c>
      <c r="L128" s="25"/>
      <c r="M128" s="25"/>
      <c r="N128" s="25"/>
      <c r="O128" s="25"/>
      <c r="P128" s="25"/>
      <c r="Q128" s="25"/>
      <c r="R128" s="25"/>
      <c r="S128" s="27">
        <f t="shared" si="53"/>
        <v>5771.22</v>
      </c>
      <c r="T128" s="28"/>
      <c r="U128" s="28"/>
      <c r="V128" s="28"/>
      <c r="W128" s="8"/>
      <c r="X128" s="28"/>
      <c r="Y128" s="28"/>
      <c r="Z128" s="28"/>
      <c r="AA128" s="28">
        <f>S128-Z128-Y128-X128</f>
        <v>5771.22</v>
      </c>
      <c r="AB128" s="28">
        <f>IF(H128-$AB$1&gt;365,AA128,0)</f>
        <v>5771.22</v>
      </c>
      <c r="AC128" s="28">
        <f>IF(H128-$AB$1&lt;=365,AA128,0)</f>
        <v>0</v>
      </c>
      <c r="AD128" s="28">
        <f>IF(H128="",AA128,0)</f>
        <v>0</v>
      </c>
      <c r="AE128" s="28">
        <f>IF(AND(H128-$AB$1&gt;365,H128-$AB$1&lt;=730),AB128,0)</f>
        <v>5771.22</v>
      </c>
      <c r="AF128" s="28">
        <f>IF(AND(H128-$AB$1&gt;730,H128-$AB$1&lt;=1095),AB128,0)</f>
        <v>0</v>
      </c>
      <c r="AG128" s="28">
        <f>IF(AND(H128-$AB$1&gt;1095,H128-$AB$1&lt;=1825),AB128,0)</f>
        <v>0</v>
      </c>
      <c r="AH128" s="28">
        <f>IF(H128-$AB$1&gt;1825,AB128,0)</f>
        <v>0</v>
      </c>
      <c r="AJ128" s="12"/>
    </row>
    <row r="129" spans="1:36" ht="16.2" customHeight="1" x14ac:dyDescent="0.3">
      <c r="A129" s="85" t="s">
        <v>42</v>
      </c>
      <c r="B129" s="183">
        <v>1043336</v>
      </c>
      <c r="C129" s="157" t="s">
        <v>278</v>
      </c>
      <c r="D129" s="158" t="str">
        <f t="shared" si="97"/>
        <v>zwrócone</v>
      </c>
      <c r="E129" s="159">
        <v>6305.28</v>
      </c>
      <c r="F129" s="159"/>
      <c r="G129" s="160">
        <v>45274</v>
      </c>
      <c r="H129" s="84">
        <v>45678</v>
      </c>
      <c r="I129" s="112">
        <v>0.3</v>
      </c>
      <c r="J129" s="112" t="s">
        <v>206</v>
      </c>
      <c r="K129" s="6" t="s">
        <v>203</v>
      </c>
      <c r="L129" s="25"/>
      <c r="M129" s="25"/>
      <c r="N129" s="25"/>
      <c r="O129" s="25"/>
      <c r="P129" s="25"/>
      <c r="Q129" s="25"/>
      <c r="R129" s="25"/>
      <c r="S129" s="27">
        <f t="shared" si="53"/>
        <v>6305.28</v>
      </c>
      <c r="T129" s="28"/>
      <c r="U129" s="28"/>
      <c r="V129" s="28"/>
      <c r="W129" s="37">
        <v>45730</v>
      </c>
      <c r="X129" s="28"/>
      <c r="Y129" s="28"/>
      <c r="Z129" s="28">
        <v>6305.28</v>
      </c>
      <c r="AA129" s="28">
        <f>S129-Z129-Y129-X129</f>
        <v>0</v>
      </c>
      <c r="AB129" s="28">
        <f>IF(H129-$AB$1&gt;365,AA129,0)</f>
        <v>0</v>
      </c>
      <c r="AC129" s="28">
        <f>IF(H129-$AB$1&lt;=365,AA129,0)</f>
        <v>0</v>
      </c>
      <c r="AD129" s="28">
        <f>IF(H129="",AA129,0)</f>
        <v>0</v>
      </c>
      <c r="AE129" s="28">
        <f>IF(AND(H129-$AB$1&gt;365,H129-$AB$1&lt;=730),AB129,0)</f>
        <v>0</v>
      </c>
      <c r="AF129" s="28">
        <f>IF(AND(H129-$AB$1&gt;730,H129-$AB$1&lt;=1095),AB129,0)</f>
        <v>0</v>
      </c>
      <c r="AG129" s="28">
        <f>IF(AND(H129-$AB$1&gt;1095,H129-$AB$1&lt;=1825),AB129,0)</f>
        <v>0</v>
      </c>
      <c r="AH129" s="28">
        <f>IF(H129-$AB$1&gt;1825,AB129,0)</f>
        <v>0</v>
      </c>
      <c r="AJ129" s="12"/>
    </row>
    <row r="130" spans="1:36" ht="16.2" customHeight="1" x14ac:dyDescent="0.3">
      <c r="A130" s="6" t="s">
        <v>42</v>
      </c>
      <c r="B130" s="20">
        <v>1043336</v>
      </c>
      <c r="C130" s="83" t="s">
        <v>145</v>
      </c>
      <c r="D130" s="93" t="str">
        <f t="shared" si="97"/>
        <v/>
      </c>
      <c r="E130" s="22">
        <v>4898.7</v>
      </c>
      <c r="F130" s="22"/>
      <c r="G130" s="24">
        <v>44781</v>
      </c>
      <c r="H130" s="23">
        <v>46232</v>
      </c>
      <c r="I130" s="112">
        <v>0.3</v>
      </c>
      <c r="J130" s="112" t="s">
        <v>206</v>
      </c>
      <c r="K130" s="6" t="s">
        <v>203</v>
      </c>
      <c r="L130" s="25"/>
      <c r="M130" s="25"/>
      <c r="N130" s="25"/>
      <c r="O130" s="25"/>
      <c r="P130" s="25"/>
      <c r="Q130" s="25"/>
      <c r="R130" s="25"/>
      <c r="S130" s="27">
        <f t="shared" si="53"/>
        <v>4898.7</v>
      </c>
      <c r="T130" s="28"/>
      <c r="U130" s="28"/>
      <c r="V130" s="28"/>
      <c r="W130" s="8"/>
      <c r="X130" s="28"/>
      <c r="Y130" s="28"/>
      <c r="Z130" s="28"/>
      <c r="AA130" s="28">
        <f>S130-Z130-Y130-X130</f>
        <v>4898.7</v>
      </c>
      <c r="AB130" s="28">
        <f>IF(H130-$AB$1&gt;365,AA130,0)</f>
        <v>0</v>
      </c>
      <c r="AC130" s="28">
        <f>IF(H130-$AB$1&lt;=365,AA130,0)</f>
        <v>4898.7</v>
      </c>
      <c r="AD130" s="28">
        <f>IF(H130="",AA130,0)</f>
        <v>0</v>
      </c>
      <c r="AE130" s="28">
        <f>IF(AND(H130-$AB$1&gt;365,H130-$AB$1&lt;=730),AB130,0)</f>
        <v>0</v>
      </c>
      <c r="AF130" s="28">
        <f>IF(AND(H130-$AB$1&gt;730,H130-$AB$1&lt;=1095),AB130,0)</f>
        <v>0</v>
      </c>
      <c r="AG130" s="28">
        <f>IF(AND(H130-$AB$1&gt;1095,H130-$AB$1&lt;=1825),AB130,0)</f>
        <v>0</v>
      </c>
      <c r="AH130" s="28">
        <f>IF(H130-$AB$1&gt;1825,AB130,0)</f>
        <v>0</v>
      </c>
      <c r="AJ130" s="12"/>
    </row>
    <row r="131" spans="1:36" ht="16.2" customHeight="1" x14ac:dyDescent="0.3">
      <c r="A131" s="6" t="s">
        <v>42</v>
      </c>
      <c r="B131" s="20">
        <v>1043336</v>
      </c>
      <c r="C131" s="83" t="s">
        <v>294</v>
      </c>
      <c r="D131" s="93" t="str">
        <f t="shared" si="97"/>
        <v/>
      </c>
      <c r="E131" s="22">
        <v>5356.8</v>
      </c>
      <c r="F131" s="22"/>
      <c r="G131" s="24">
        <v>45384</v>
      </c>
      <c r="H131" s="23">
        <v>46116</v>
      </c>
      <c r="I131" s="112">
        <v>0.3</v>
      </c>
      <c r="J131" s="112" t="s">
        <v>206</v>
      </c>
      <c r="K131" s="6" t="s">
        <v>203</v>
      </c>
      <c r="L131" s="25"/>
      <c r="M131" s="25"/>
      <c r="N131" s="25"/>
      <c r="O131" s="25"/>
      <c r="P131" s="25"/>
      <c r="Q131" s="25"/>
      <c r="R131" s="25"/>
      <c r="S131" s="27">
        <f t="shared" si="53"/>
        <v>5356.8</v>
      </c>
      <c r="T131" s="28"/>
      <c r="U131" s="28"/>
      <c r="V131" s="28"/>
      <c r="W131" s="8"/>
      <c r="X131" s="28"/>
      <c r="Y131" s="28"/>
      <c r="Z131" s="28"/>
      <c r="AA131" s="28">
        <f t="shared" ref="AA131:AA137" si="98">S131-Z131-Y131-X131</f>
        <v>5356.8</v>
      </c>
      <c r="AB131" s="28">
        <f t="shared" ref="AB131:AB137" si="99">IF(H131-$AB$1&gt;365,AA131,0)</f>
        <v>0</v>
      </c>
      <c r="AC131" s="28">
        <f t="shared" ref="AC131:AC137" si="100">IF(H131-$AB$1&lt;=365,AA131,0)</f>
        <v>5356.8</v>
      </c>
      <c r="AD131" s="28">
        <f t="shared" ref="AD131:AD137" si="101">IF(H131="",AA131,0)</f>
        <v>0</v>
      </c>
      <c r="AE131" s="28">
        <f t="shared" ref="AE131:AE137" si="102">IF(AND(H131-$AB$1&gt;365,H131-$AB$1&lt;=730),AB131,0)</f>
        <v>0</v>
      </c>
      <c r="AF131" s="28">
        <f t="shared" ref="AF131:AF137" si="103">IF(AND(H131-$AB$1&gt;730,H131-$AB$1&lt;=1095),AB131,0)</f>
        <v>0</v>
      </c>
      <c r="AG131" s="28">
        <f t="shared" ref="AG131:AG137" si="104">IF(AND(H131-$AB$1&gt;1095,H131-$AB$1&lt;=1825),AB131,0)</f>
        <v>0</v>
      </c>
      <c r="AH131" s="28">
        <f t="shared" ref="AH131:AH137" si="105">IF(H131-$AB$1&gt;1825,AB131,0)</f>
        <v>0</v>
      </c>
      <c r="AJ131" s="12"/>
    </row>
    <row r="132" spans="1:36" ht="16.2" customHeight="1" x14ac:dyDescent="0.3">
      <c r="A132" s="6" t="s">
        <v>42</v>
      </c>
      <c r="B132" s="20">
        <v>1043336</v>
      </c>
      <c r="C132" s="83" t="s">
        <v>332</v>
      </c>
      <c r="D132" s="93" t="str">
        <f t="shared" si="97"/>
        <v/>
      </c>
      <c r="E132" s="22">
        <v>15366.61</v>
      </c>
      <c r="F132" s="22"/>
      <c r="G132" s="24">
        <v>45574</v>
      </c>
      <c r="H132" s="23">
        <v>46203</v>
      </c>
      <c r="I132" s="112">
        <v>0.7</v>
      </c>
      <c r="J132" s="112" t="s">
        <v>206</v>
      </c>
      <c r="K132" s="6" t="s">
        <v>203</v>
      </c>
      <c r="L132" s="25"/>
      <c r="M132" s="25"/>
      <c r="N132" s="25"/>
      <c r="O132" s="25"/>
      <c r="P132" s="25"/>
      <c r="Q132" s="25"/>
      <c r="R132" s="25"/>
      <c r="S132" s="27">
        <f t="shared" si="53"/>
        <v>15366.61</v>
      </c>
      <c r="T132" s="28"/>
      <c r="U132" s="28"/>
      <c r="V132" s="28"/>
      <c r="W132" s="8"/>
      <c r="X132" s="28"/>
      <c r="Y132" s="28"/>
      <c r="Z132" s="28"/>
      <c r="AA132" s="28">
        <f t="shared" si="98"/>
        <v>15366.61</v>
      </c>
      <c r="AB132" s="28">
        <f t="shared" si="99"/>
        <v>0</v>
      </c>
      <c r="AC132" s="28">
        <f t="shared" si="100"/>
        <v>15366.61</v>
      </c>
      <c r="AD132" s="28">
        <f t="shared" si="101"/>
        <v>0</v>
      </c>
      <c r="AE132" s="28">
        <f t="shared" si="102"/>
        <v>0</v>
      </c>
      <c r="AF132" s="28">
        <f t="shared" si="103"/>
        <v>0</v>
      </c>
      <c r="AG132" s="28">
        <f t="shared" si="104"/>
        <v>0</v>
      </c>
      <c r="AH132" s="28">
        <f t="shared" si="105"/>
        <v>0</v>
      </c>
      <c r="AJ132" s="12"/>
    </row>
    <row r="133" spans="1:36" ht="16.2" customHeight="1" x14ac:dyDescent="0.3">
      <c r="A133" s="6" t="s">
        <v>42</v>
      </c>
      <c r="B133" s="20">
        <v>1043336</v>
      </c>
      <c r="C133" s="83" t="s">
        <v>332</v>
      </c>
      <c r="D133" s="93" t="str">
        <f t="shared" si="97"/>
        <v/>
      </c>
      <c r="E133" s="22">
        <v>6585.69</v>
      </c>
      <c r="F133" s="22"/>
      <c r="G133" s="24">
        <v>45574</v>
      </c>
      <c r="H133" s="23">
        <v>46919</v>
      </c>
      <c r="I133" s="112">
        <v>0.3</v>
      </c>
      <c r="J133" s="112" t="s">
        <v>206</v>
      </c>
      <c r="K133" s="6" t="s">
        <v>203</v>
      </c>
      <c r="L133" s="25"/>
      <c r="M133" s="25"/>
      <c r="N133" s="25"/>
      <c r="O133" s="25"/>
      <c r="P133" s="25"/>
      <c r="Q133" s="25"/>
      <c r="R133" s="25"/>
      <c r="S133" s="27">
        <f t="shared" si="53"/>
        <v>6585.69</v>
      </c>
      <c r="T133" s="28"/>
      <c r="U133" s="28"/>
      <c r="V133" s="28"/>
      <c r="W133" s="8"/>
      <c r="X133" s="28"/>
      <c r="Y133" s="28"/>
      <c r="Z133" s="28"/>
      <c r="AA133" s="28">
        <f t="shared" si="98"/>
        <v>6585.69</v>
      </c>
      <c r="AB133" s="28">
        <f t="shared" si="99"/>
        <v>6585.69</v>
      </c>
      <c r="AC133" s="28">
        <f t="shared" si="100"/>
        <v>0</v>
      </c>
      <c r="AD133" s="28">
        <f t="shared" si="101"/>
        <v>0</v>
      </c>
      <c r="AE133" s="28">
        <f t="shared" si="102"/>
        <v>0</v>
      </c>
      <c r="AF133" s="28">
        <f t="shared" si="103"/>
        <v>6585.69</v>
      </c>
      <c r="AG133" s="28">
        <f t="shared" si="104"/>
        <v>0</v>
      </c>
      <c r="AH133" s="28">
        <f t="shared" si="105"/>
        <v>0</v>
      </c>
      <c r="AJ133" s="12"/>
    </row>
    <row r="134" spans="1:36" ht="16.2" customHeight="1" x14ac:dyDescent="0.3">
      <c r="A134" s="85" t="s">
        <v>42</v>
      </c>
      <c r="B134" s="183">
        <v>1043336</v>
      </c>
      <c r="C134" s="157" t="s">
        <v>363</v>
      </c>
      <c r="D134" s="158" t="str">
        <f t="shared" si="97"/>
        <v>zwrócone</v>
      </c>
      <c r="E134" s="159">
        <v>4060</v>
      </c>
      <c r="F134" s="159"/>
      <c r="G134" s="160">
        <v>45744</v>
      </c>
      <c r="H134" s="84">
        <v>45744</v>
      </c>
      <c r="I134" s="112">
        <v>0.7</v>
      </c>
      <c r="J134" s="112" t="s">
        <v>206</v>
      </c>
      <c r="K134" s="6" t="s">
        <v>203</v>
      </c>
      <c r="L134" s="25"/>
      <c r="M134" s="25"/>
      <c r="N134" s="25"/>
      <c r="O134" s="25"/>
      <c r="P134" s="25"/>
      <c r="Q134" s="25"/>
      <c r="R134" s="25"/>
      <c r="S134" s="27">
        <f t="shared" si="53"/>
        <v>4060</v>
      </c>
      <c r="T134" s="28"/>
      <c r="U134" s="28"/>
      <c r="V134" s="28"/>
      <c r="W134" s="37">
        <v>45763</v>
      </c>
      <c r="X134" s="28"/>
      <c r="Y134" s="28"/>
      <c r="Z134" s="28">
        <v>4060</v>
      </c>
      <c r="AA134" s="28">
        <f t="shared" si="98"/>
        <v>0</v>
      </c>
      <c r="AB134" s="28">
        <f t="shared" si="99"/>
        <v>0</v>
      </c>
      <c r="AC134" s="28">
        <f t="shared" si="100"/>
        <v>0</v>
      </c>
      <c r="AD134" s="28">
        <f t="shared" si="101"/>
        <v>0</v>
      </c>
      <c r="AE134" s="28">
        <f t="shared" si="102"/>
        <v>0</v>
      </c>
      <c r="AF134" s="28">
        <f t="shared" si="103"/>
        <v>0</v>
      </c>
      <c r="AG134" s="28">
        <f t="shared" si="104"/>
        <v>0</v>
      </c>
      <c r="AH134" s="28">
        <f t="shared" si="105"/>
        <v>0</v>
      </c>
      <c r="AJ134" s="12"/>
    </row>
    <row r="135" spans="1:36" ht="16.2" customHeight="1" x14ac:dyDescent="0.3">
      <c r="A135" s="6" t="s">
        <v>42</v>
      </c>
      <c r="B135" s="20">
        <v>1043336</v>
      </c>
      <c r="C135" s="83" t="s">
        <v>363</v>
      </c>
      <c r="D135" s="93" t="str">
        <f t="shared" si="97"/>
        <v/>
      </c>
      <c r="E135" s="22">
        <v>1740</v>
      </c>
      <c r="F135" s="22"/>
      <c r="G135" s="24">
        <v>46465</v>
      </c>
      <c r="H135" s="23">
        <v>46465</v>
      </c>
      <c r="I135" s="112">
        <v>0.3</v>
      </c>
      <c r="J135" s="112" t="s">
        <v>206</v>
      </c>
      <c r="K135" s="6" t="s">
        <v>203</v>
      </c>
      <c r="L135" s="25"/>
      <c r="M135" s="25"/>
      <c r="N135" s="25"/>
      <c r="O135" s="25"/>
      <c r="P135" s="25"/>
      <c r="Q135" s="25"/>
      <c r="R135" s="25"/>
      <c r="S135" s="27">
        <f t="shared" si="53"/>
        <v>1740</v>
      </c>
      <c r="T135" s="28"/>
      <c r="U135" s="28"/>
      <c r="V135" s="28"/>
      <c r="W135" s="37"/>
      <c r="X135" s="28"/>
      <c r="Y135" s="28"/>
      <c r="Z135" s="28"/>
      <c r="AA135" s="28">
        <f t="shared" si="98"/>
        <v>1740</v>
      </c>
      <c r="AB135" s="28">
        <f t="shared" si="99"/>
        <v>1740</v>
      </c>
      <c r="AC135" s="28">
        <f t="shared" si="100"/>
        <v>0</v>
      </c>
      <c r="AD135" s="28">
        <f t="shared" si="101"/>
        <v>0</v>
      </c>
      <c r="AE135" s="28">
        <f t="shared" si="102"/>
        <v>1740</v>
      </c>
      <c r="AF135" s="28">
        <f t="shared" si="103"/>
        <v>0</v>
      </c>
      <c r="AG135" s="28">
        <f t="shared" si="104"/>
        <v>0</v>
      </c>
      <c r="AH135" s="28">
        <f t="shared" si="105"/>
        <v>0</v>
      </c>
      <c r="AJ135" s="12"/>
    </row>
    <row r="136" spans="1:36" ht="16.2" customHeight="1" x14ac:dyDescent="0.3">
      <c r="A136" s="85" t="s">
        <v>42</v>
      </c>
      <c r="B136" s="183">
        <v>1043336</v>
      </c>
      <c r="C136" s="157" t="s">
        <v>373</v>
      </c>
      <c r="D136" s="158" t="str">
        <f t="shared" si="97"/>
        <v>zwrócone</v>
      </c>
      <c r="E136" s="159">
        <v>2786</v>
      </c>
      <c r="F136" s="159"/>
      <c r="G136" s="160">
        <v>45771</v>
      </c>
      <c r="H136" s="84">
        <v>45800</v>
      </c>
      <c r="I136" s="112">
        <v>0.7</v>
      </c>
      <c r="J136" s="112" t="s">
        <v>206</v>
      </c>
      <c r="K136" s="6" t="s">
        <v>203</v>
      </c>
      <c r="L136" s="25"/>
      <c r="M136" s="25"/>
      <c r="N136" s="25"/>
      <c r="O136" s="25"/>
      <c r="P136" s="25"/>
      <c r="Q136" s="25"/>
      <c r="R136" s="25"/>
      <c r="S136" s="27">
        <f t="shared" si="53"/>
        <v>2786</v>
      </c>
      <c r="T136" s="28"/>
      <c r="U136" s="28"/>
      <c r="V136" s="28"/>
      <c r="W136" s="37">
        <v>45812</v>
      </c>
      <c r="X136" s="28"/>
      <c r="Y136" s="28"/>
      <c r="Z136" s="28">
        <v>2786</v>
      </c>
      <c r="AA136" s="28">
        <f t="shared" si="98"/>
        <v>0</v>
      </c>
      <c r="AB136" s="28">
        <f t="shared" si="99"/>
        <v>0</v>
      </c>
      <c r="AC136" s="28">
        <f t="shared" si="100"/>
        <v>0</v>
      </c>
      <c r="AD136" s="28">
        <f t="shared" si="101"/>
        <v>0</v>
      </c>
      <c r="AE136" s="28">
        <f t="shared" si="102"/>
        <v>0</v>
      </c>
      <c r="AF136" s="28">
        <f t="shared" si="103"/>
        <v>0</v>
      </c>
      <c r="AG136" s="28">
        <f t="shared" si="104"/>
        <v>0</v>
      </c>
      <c r="AH136" s="28">
        <f t="shared" si="105"/>
        <v>0</v>
      </c>
      <c r="AJ136" s="12"/>
    </row>
    <row r="137" spans="1:36" ht="16.2" customHeight="1" x14ac:dyDescent="0.3">
      <c r="A137" s="6" t="s">
        <v>42</v>
      </c>
      <c r="B137" s="20">
        <v>1043336</v>
      </c>
      <c r="C137" s="83" t="s">
        <v>373</v>
      </c>
      <c r="D137" s="93" t="str">
        <f t="shared" si="97"/>
        <v/>
      </c>
      <c r="E137" s="22">
        <v>1194</v>
      </c>
      <c r="F137" s="22"/>
      <c r="G137" s="24">
        <v>45771</v>
      </c>
      <c r="H137" s="23">
        <v>46888</v>
      </c>
      <c r="I137" s="112">
        <v>0.3</v>
      </c>
      <c r="J137" s="112" t="s">
        <v>206</v>
      </c>
      <c r="K137" s="6" t="s">
        <v>203</v>
      </c>
      <c r="L137" s="25"/>
      <c r="M137" s="25"/>
      <c r="N137" s="25"/>
      <c r="O137" s="25"/>
      <c r="P137" s="25"/>
      <c r="Q137" s="25"/>
      <c r="R137" s="25"/>
      <c r="S137" s="27">
        <f t="shared" si="53"/>
        <v>1194</v>
      </c>
      <c r="T137" s="28"/>
      <c r="U137" s="28"/>
      <c r="V137" s="28"/>
      <c r="W137" s="37"/>
      <c r="X137" s="28"/>
      <c r="Y137" s="28"/>
      <c r="Z137" s="28"/>
      <c r="AA137" s="28">
        <f t="shared" si="98"/>
        <v>1194</v>
      </c>
      <c r="AB137" s="28">
        <f t="shared" si="99"/>
        <v>1194</v>
      </c>
      <c r="AC137" s="28">
        <f t="shared" si="100"/>
        <v>0</v>
      </c>
      <c r="AD137" s="28">
        <f t="shared" si="101"/>
        <v>0</v>
      </c>
      <c r="AE137" s="28">
        <f t="shared" si="102"/>
        <v>0</v>
      </c>
      <c r="AF137" s="28">
        <f t="shared" si="103"/>
        <v>1194</v>
      </c>
      <c r="AG137" s="28">
        <f t="shared" si="104"/>
        <v>0</v>
      </c>
      <c r="AH137" s="28">
        <f t="shared" si="105"/>
        <v>0</v>
      </c>
      <c r="AJ137" s="12"/>
    </row>
    <row r="138" spans="1:36" ht="16.2" customHeight="1" x14ac:dyDescent="0.3">
      <c r="A138" s="6" t="s">
        <v>42</v>
      </c>
      <c r="B138" s="20">
        <v>1043336</v>
      </c>
      <c r="C138" s="83" t="s">
        <v>291</v>
      </c>
      <c r="D138" s="93" t="str">
        <f t="shared" si="97"/>
        <v/>
      </c>
      <c r="E138" s="22">
        <v>2270.8200000000002</v>
      </c>
      <c r="F138" s="22" t="s">
        <v>158</v>
      </c>
      <c r="G138" s="24">
        <v>45320</v>
      </c>
      <c r="H138" s="23">
        <v>46082</v>
      </c>
      <c r="I138" s="112">
        <v>0.3</v>
      </c>
      <c r="J138" s="165"/>
      <c r="K138" s="6" t="s">
        <v>203</v>
      </c>
      <c r="L138" s="25"/>
      <c r="M138" s="25"/>
      <c r="N138" s="25"/>
      <c r="O138" s="25"/>
      <c r="P138" s="25"/>
      <c r="Q138" s="25"/>
      <c r="R138" s="25"/>
      <c r="S138" s="27">
        <f t="shared" si="53"/>
        <v>2270.8200000000002</v>
      </c>
      <c r="T138" s="28"/>
      <c r="U138" s="28"/>
      <c r="V138" s="28"/>
      <c r="W138" s="8"/>
      <c r="X138" s="28"/>
      <c r="Y138" s="28"/>
      <c r="Z138" s="28"/>
      <c r="AA138" s="28">
        <f>S138-Z138-Y138-X138</f>
        <v>2270.8200000000002</v>
      </c>
      <c r="AB138" s="28">
        <f>IF(H138-$AB$1&gt;365,AA138,0)</f>
        <v>0</v>
      </c>
      <c r="AC138" s="28">
        <f>IF(H138-$AB$1&lt;=365,AA138,0)</f>
        <v>2270.8200000000002</v>
      </c>
      <c r="AD138" s="28">
        <f>IF(H138="",AA138,0)</f>
        <v>0</v>
      </c>
      <c r="AE138" s="28">
        <f>IF(AND(H138-$AB$1&gt;365,H138-$AB$1&lt;=730),AB138,0)</f>
        <v>0</v>
      </c>
      <c r="AF138" s="28">
        <f>IF(AND(H138-$AB$1&gt;730,H138-$AB$1&lt;=1095),AB138,0)</f>
        <v>0</v>
      </c>
      <c r="AG138" s="28">
        <f>IF(AND(H138-$AB$1&gt;1095,H138-$AB$1&lt;=1825),AB138,0)</f>
        <v>0</v>
      </c>
      <c r="AH138" s="28">
        <f>IF(H138-$AB$1&gt;1825,AB138,0)</f>
        <v>0</v>
      </c>
      <c r="AJ138" s="12"/>
    </row>
    <row r="139" spans="1:36" ht="16.2" customHeight="1" x14ac:dyDescent="0.3">
      <c r="A139" s="115"/>
      <c r="B139" s="116"/>
      <c r="C139" s="117"/>
      <c r="D139" s="118" t="str">
        <f t="shared" si="97"/>
        <v/>
      </c>
      <c r="E139" s="31">
        <f>SUBTOTAL(9,E126:E138)</f>
        <v>65671.180000000008</v>
      </c>
      <c r="F139" s="31"/>
      <c r="G139" s="119"/>
      <c r="H139" s="120"/>
      <c r="I139" s="115"/>
      <c r="J139" s="115"/>
      <c r="K139" s="115"/>
      <c r="L139" s="31">
        <f t="shared" ref="L139:V139" si="106">SUBTOTAL(9,L126:L138)</f>
        <v>0</v>
      </c>
      <c r="M139" s="31">
        <f t="shared" si="106"/>
        <v>0</v>
      </c>
      <c r="N139" s="31">
        <f t="shared" si="106"/>
        <v>0</v>
      </c>
      <c r="O139" s="31">
        <f t="shared" si="106"/>
        <v>0</v>
      </c>
      <c r="P139" s="31">
        <f t="shared" si="106"/>
        <v>0</v>
      </c>
      <c r="Q139" s="31">
        <f t="shared" si="106"/>
        <v>0</v>
      </c>
      <c r="R139" s="31"/>
      <c r="S139" s="31">
        <f t="shared" si="53"/>
        <v>65671.180000000008</v>
      </c>
      <c r="T139" s="31">
        <f t="shared" si="106"/>
        <v>0</v>
      </c>
      <c r="U139" s="31">
        <f t="shared" si="106"/>
        <v>0</v>
      </c>
      <c r="V139" s="31">
        <f t="shared" si="106"/>
        <v>0</v>
      </c>
      <c r="W139" s="31"/>
      <c r="X139" s="31">
        <f t="shared" ref="X139:AH139" si="107">SUBTOTAL(9,X126:X138)</f>
        <v>0</v>
      </c>
      <c r="Y139" s="31">
        <f t="shared" si="107"/>
        <v>0</v>
      </c>
      <c r="Z139" s="31">
        <f t="shared" si="107"/>
        <v>22487.34</v>
      </c>
      <c r="AA139" s="31">
        <f t="shared" si="107"/>
        <v>43183.840000000004</v>
      </c>
      <c r="AB139" s="31">
        <f t="shared" si="107"/>
        <v>15290.91</v>
      </c>
      <c r="AC139" s="31">
        <f t="shared" si="107"/>
        <v>27892.93</v>
      </c>
      <c r="AD139" s="31">
        <f t="shared" si="107"/>
        <v>0</v>
      </c>
      <c r="AE139" s="31">
        <f t="shared" si="107"/>
        <v>7511.22</v>
      </c>
      <c r="AF139" s="31">
        <f t="shared" si="107"/>
        <v>7779.69</v>
      </c>
      <c r="AG139" s="31">
        <f t="shared" si="107"/>
        <v>0</v>
      </c>
      <c r="AH139" s="31">
        <f t="shared" si="107"/>
        <v>0</v>
      </c>
      <c r="AJ139" s="12"/>
    </row>
    <row r="140" spans="1:36" ht="27" customHeight="1" x14ac:dyDescent="0.3">
      <c r="A140" s="85" t="s">
        <v>252</v>
      </c>
      <c r="B140" s="183">
        <v>1044284</v>
      </c>
      <c r="C140" s="157" t="s">
        <v>251</v>
      </c>
      <c r="D140" s="158" t="str">
        <f t="shared" si="97"/>
        <v>zwrócone</v>
      </c>
      <c r="E140" s="159">
        <v>5760</v>
      </c>
      <c r="F140" s="159"/>
      <c r="G140" s="160">
        <v>45166</v>
      </c>
      <c r="H140" s="84">
        <v>45687</v>
      </c>
      <c r="I140" s="46">
        <v>1</v>
      </c>
      <c r="J140" s="46" t="s">
        <v>206</v>
      </c>
      <c r="K140" s="123" t="s">
        <v>203</v>
      </c>
      <c r="L140" s="25"/>
      <c r="M140" s="25"/>
      <c r="N140" s="25"/>
      <c r="O140" s="25"/>
      <c r="P140" s="25"/>
      <c r="Q140" s="25"/>
      <c r="R140" s="25"/>
      <c r="S140" s="27">
        <f t="shared" si="53"/>
        <v>5760</v>
      </c>
      <c r="T140" s="28">
        <f>IF(H140-$T$1&gt;365,S140,0)</f>
        <v>0</v>
      </c>
      <c r="U140" s="28">
        <f>IF(H140-$T$1&lt;365,S140,0)</f>
        <v>5760</v>
      </c>
      <c r="V140" s="28">
        <f>IF(H140="",S140,0)</f>
        <v>0</v>
      </c>
      <c r="W140" s="37">
        <v>45687</v>
      </c>
      <c r="X140" s="28"/>
      <c r="Y140" s="28"/>
      <c r="Z140" s="28">
        <v>5760</v>
      </c>
      <c r="AA140" s="28">
        <f>S140-Z140-Y140-X140</f>
        <v>0</v>
      </c>
      <c r="AB140" s="28">
        <f>IF(H140-$AB$1&gt;365,AA140,0)</f>
        <v>0</v>
      </c>
      <c r="AC140" s="28">
        <f>IF(H140-$AB$1&lt;=365,AA140,0)</f>
        <v>0</v>
      </c>
      <c r="AD140" s="28">
        <f>IF(H140="",AA140,0)</f>
        <v>0</v>
      </c>
      <c r="AE140" s="28">
        <f>IF(AND(H140-$AB$1&gt;365,H140-$AB$1&lt;=730),AB140,0)</f>
        <v>0</v>
      </c>
      <c r="AF140" s="28">
        <f>IF(AND(H140-$AB$1&gt;730,H140-$AB$1&lt;=1095),AB140,0)</f>
        <v>0</v>
      </c>
      <c r="AG140" s="28">
        <f>IF(AND(H140-$AB$1&gt;1095,H140-$AB$1&lt;=1825),AB140,0)</f>
        <v>0</v>
      </c>
      <c r="AH140" s="28">
        <f>IF(H140-$AB$1&gt;1825,AB140,0)</f>
        <v>0</v>
      </c>
      <c r="AJ140" s="12"/>
    </row>
    <row r="141" spans="1:36" ht="27" customHeight="1" x14ac:dyDescent="0.3">
      <c r="A141" s="6" t="s">
        <v>252</v>
      </c>
      <c r="B141" s="20">
        <v>1044284</v>
      </c>
      <c r="C141" s="83" t="s">
        <v>398</v>
      </c>
      <c r="D141" s="93" t="str">
        <f t="shared" si="97"/>
        <v/>
      </c>
      <c r="E141" s="22">
        <v>6422.6</v>
      </c>
      <c r="F141" s="22"/>
      <c r="G141" s="24">
        <v>45809</v>
      </c>
      <c r="H141" s="23">
        <v>45987</v>
      </c>
      <c r="I141" s="46">
        <v>1</v>
      </c>
      <c r="J141" s="46" t="s">
        <v>206</v>
      </c>
      <c r="K141" s="123" t="s">
        <v>203</v>
      </c>
      <c r="L141" s="25"/>
      <c r="M141" s="25"/>
      <c r="N141" s="25"/>
      <c r="O141" s="25"/>
      <c r="P141" s="25"/>
      <c r="Q141" s="25"/>
      <c r="R141" s="25"/>
      <c r="S141" s="27">
        <f t="shared" si="53"/>
        <v>6422.6</v>
      </c>
      <c r="T141" s="28"/>
      <c r="U141" s="28"/>
      <c r="V141" s="28"/>
      <c r="W141" s="37"/>
      <c r="X141" s="28"/>
      <c r="Y141" s="28"/>
      <c r="Z141" s="28"/>
      <c r="AA141" s="28">
        <f>S141-Z141-Y141-X141</f>
        <v>6422.6</v>
      </c>
      <c r="AB141" s="28">
        <f>IF(H141-$AB$1&gt;365,AA141,0)</f>
        <v>0</v>
      </c>
      <c r="AC141" s="28">
        <f>IF(H141-$AB$1&lt;=365,AA141,0)</f>
        <v>6422.6</v>
      </c>
      <c r="AD141" s="28">
        <f>IF(H141="",AA141,0)</f>
        <v>0</v>
      </c>
      <c r="AE141" s="28">
        <f>IF(AND(H141-$AB$1&gt;365,H141-$AB$1&lt;=730),AB141,0)</f>
        <v>0</v>
      </c>
      <c r="AF141" s="28">
        <f>IF(AND(H141-$AB$1&gt;730,H141-$AB$1&lt;=1095),AB141,0)</f>
        <v>0</v>
      </c>
      <c r="AG141" s="28">
        <f>IF(AND(H141-$AB$1&gt;1095,H141-$AB$1&lt;=1825),AB141,0)</f>
        <v>0</v>
      </c>
      <c r="AH141" s="28">
        <f>IF(H141-$AB$1&gt;1825,AB141,0)</f>
        <v>0</v>
      </c>
      <c r="AJ141" s="12"/>
    </row>
    <row r="142" spans="1:36" ht="27" customHeight="1" x14ac:dyDescent="0.3">
      <c r="A142" s="85" t="s">
        <v>252</v>
      </c>
      <c r="B142" s="183">
        <v>1044284</v>
      </c>
      <c r="C142" s="157" t="s">
        <v>308</v>
      </c>
      <c r="D142" s="158" t="str">
        <f t="shared" si="97"/>
        <v>zwrócone</v>
      </c>
      <c r="E142" s="159">
        <v>29600</v>
      </c>
      <c r="F142" s="159" t="s">
        <v>158</v>
      </c>
      <c r="G142" s="160">
        <v>45453</v>
      </c>
      <c r="H142" s="84">
        <v>45868</v>
      </c>
      <c r="I142" s="46">
        <v>1</v>
      </c>
      <c r="J142" s="46" t="s">
        <v>206</v>
      </c>
      <c r="K142" s="123" t="s">
        <v>203</v>
      </c>
      <c r="L142" s="25"/>
      <c r="M142" s="25"/>
      <c r="N142" s="25"/>
      <c r="O142" s="25"/>
      <c r="P142" s="25"/>
      <c r="Q142" s="25"/>
      <c r="R142" s="25"/>
      <c r="S142" s="27">
        <f t="shared" si="53"/>
        <v>29600</v>
      </c>
      <c r="T142" s="28"/>
      <c r="U142" s="28"/>
      <c r="V142" s="28"/>
      <c r="W142" s="37">
        <v>45868</v>
      </c>
      <c r="X142" s="28"/>
      <c r="Y142" s="28"/>
      <c r="Z142" s="28">
        <v>29600</v>
      </c>
      <c r="AA142" s="28">
        <f>S142-Z142-Y142-X142</f>
        <v>0</v>
      </c>
      <c r="AB142" s="28">
        <f>IF(H142-$AB$1&gt;365,AA142,0)</f>
        <v>0</v>
      </c>
      <c r="AC142" s="28">
        <f>IF(H142-$AB$1&lt;=365,AA142,0)</f>
        <v>0</v>
      </c>
      <c r="AD142" s="28">
        <f>IF(H142="",AA142,0)</f>
        <v>0</v>
      </c>
      <c r="AE142" s="28">
        <f>IF(AND(H142-$AB$1&gt;365,H142-$AB$1&lt;=730),AB142,0)</f>
        <v>0</v>
      </c>
      <c r="AF142" s="28">
        <f>IF(AND(H142-$AB$1&gt;730,H142-$AB$1&lt;=1095),AB142,0)</f>
        <v>0</v>
      </c>
      <c r="AG142" s="28">
        <f>IF(AND(H142-$AB$1&gt;1095,H142-$AB$1&lt;=1825),AB142,0)</f>
        <v>0</v>
      </c>
      <c r="AH142" s="28">
        <f>IF(H142-$AB$1&gt;1825,AB142,0)</f>
        <v>0</v>
      </c>
      <c r="AJ142" s="12"/>
    </row>
    <row r="143" spans="1:36" ht="17.399999999999999" customHeight="1" x14ac:dyDescent="0.3">
      <c r="A143" s="115"/>
      <c r="B143" s="116"/>
      <c r="C143" s="117"/>
      <c r="D143" s="118" t="str">
        <f t="shared" si="97"/>
        <v/>
      </c>
      <c r="E143" s="31">
        <f>SUBTOTAL(9,E140:E142)</f>
        <v>41782.6</v>
      </c>
      <c r="F143" s="31"/>
      <c r="G143" s="119"/>
      <c r="H143" s="120"/>
      <c r="I143" s="115"/>
      <c r="J143" s="115"/>
      <c r="K143" s="115"/>
      <c r="L143" s="31">
        <f>SUBTOTAL(9,L140:L142)</f>
        <v>0</v>
      </c>
      <c r="M143" s="31">
        <f t="shared" ref="M143:AH143" si="108">SUBTOTAL(9,M140:M142)</f>
        <v>0</v>
      </c>
      <c r="N143" s="31">
        <f t="shared" si="108"/>
        <v>0</v>
      </c>
      <c r="O143" s="31">
        <f t="shared" si="108"/>
        <v>0</v>
      </c>
      <c r="P143" s="31">
        <f t="shared" si="108"/>
        <v>0</v>
      </c>
      <c r="Q143" s="31">
        <f t="shared" si="108"/>
        <v>0</v>
      </c>
      <c r="R143" s="31"/>
      <c r="S143" s="31">
        <f t="shared" si="53"/>
        <v>41782.6</v>
      </c>
      <c r="T143" s="31">
        <f t="shared" si="108"/>
        <v>0</v>
      </c>
      <c r="U143" s="31">
        <f t="shared" si="108"/>
        <v>5760</v>
      </c>
      <c r="V143" s="31">
        <f t="shared" si="108"/>
        <v>0</v>
      </c>
      <c r="W143" s="31"/>
      <c r="X143" s="31">
        <f t="shared" si="108"/>
        <v>0</v>
      </c>
      <c r="Y143" s="31">
        <f t="shared" si="108"/>
        <v>0</v>
      </c>
      <c r="Z143" s="31">
        <f t="shared" si="108"/>
        <v>35360</v>
      </c>
      <c r="AA143" s="31">
        <f t="shared" si="108"/>
        <v>6422.6</v>
      </c>
      <c r="AB143" s="31">
        <f t="shared" si="108"/>
        <v>0</v>
      </c>
      <c r="AC143" s="31">
        <f t="shared" si="108"/>
        <v>6422.6</v>
      </c>
      <c r="AD143" s="31">
        <f t="shared" si="108"/>
        <v>0</v>
      </c>
      <c r="AE143" s="31">
        <f t="shared" si="108"/>
        <v>0</v>
      </c>
      <c r="AF143" s="31">
        <f t="shared" si="108"/>
        <v>0</v>
      </c>
      <c r="AG143" s="31">
        <f t="shared" si="108"/>
        <v>0</v>
      </c>
      <c r="AH143" s="31">
        <f t="shared" si="108"/>
        <v>0</v>
      </c>
      <c r="AJ143" s="12"/>
    </row>
    <row r="144" spans="1:36" ht="17.399999999999999" customHeight="1" x14ac:dyDescent="0.3">
      <c r="A144" s="6" t="s">
        <v>182</v>
      </c>
      <c r="B144" s="20">
        <v>1048908</v>
      </c>
      <c r="C144" s="83" t="s">
        <v>183</v>
      </c>
      <c r="D144" s="93" t="str">
        <f>IF(W144&gt;0,"zwrócone","")</f>
        <v/>
      </c>
      <c r="E144" s="22">
        <v>1846.5</v>
      </c>
      <c r="F144" s="22"/>
      <c r="G144" s="24">
        <v>45002</v>
      </c>
      <c r="H144" s="23">
        <v>47467</v>
      </c>
      <c r="I144" s="46">
        <v>0.3</v>
      </c>
      <c r="J144" s="46" t="s">
        <v>206</v>
      </c>
      <c r="K144" s="6" t="s">
        <v>192</v>
      </c>
      <c r="L144" s="30"/>
      <c r="M144" s="30"/>
      <c r="N144" s="30"/>
      <c r="O144" s="53"/>
      <c r="P144" s="25"/>
      <c r="Q144" s="25"/>
      <c r="R144" s="25"/>
      <c r="S144" s="27">
        <f t="shared" si="53"/>
        <v>1846.5</v>
      </c>
      <c r="T144" s="31"/>
      <c r="U144" s="31"/>
      <c r="V144" s="31"/>
      <c r="W144" s="37"/>
      <c r="X144" s="22"/>
      <c r="Y144" s="22"/>
      <c r="Z144" s="22"/>
      <c r="AA144" s="28">
        <f>S144-Z144-Y144-X144</f>
        <v>1846.5</v>
      </c>
      <c r="AB144" s="28">
        <f>IF(H144-$AB$1&gt;365,AA144,0)</f>
        <v>1846.5</v>
      </c>
      <c r="AC144" s="28">
        <f>IF(H144-$AB$1&lt;=365,AA144,0)</f>
        <v>0</v>
      </c>
      <c r="AD144" s="28">
        <f>IF(H144="",AA144,0)</f>
        <v>0</v>
      </c>
      <c r="AE144" s="28">
        <f>IF(AND(H144-$AB$1&gt;365,H144-$AB$1&lt;=730),AB144,0)</f>
        <v>0</v>
      </c>
      <c r="AF144" s="28">
        <f>IF(AND(H144-$AB$1&gt;730,H144-$AB$1&lt;=1095),AB144,0)</f>
        <v>0</v>
      </c>
      <c r="AG144" s="28">
        <f>IF(AND(H144-$AB$1&gt;1095,H144-$AB$1&lt;=1825),AB144,0)</f>
        <v>1846.5</v>
      </c>
      <c r="AH144" s="28">
        <f>IF(H144-$AB$1&gt;1825,AB144,0)</f>
        <v>0</v>
      </c>
      <c r="AJ144" s="12"/>
    </row>
    <row r="145" spans="1:36" ht="17.399999999999999" customHeight="1" x14ac:dyDescent="0.3">
      <c r="A145" s="115"/>
      <c r="B145" s="116"/>
      <c r="C145" s="117"/>
      <c r="D145" s="118" t="str">
        <f t="shared" ref="D145:D181" si="109">IF(W145&gt;0,"zwrócone","")</f>
        <v/>
      </c>
      <c r="E145" s="31">
        <f>SUBTOTAL(9,E144:E144)</f>
        <v>1846.5</v>
      </c>
      <c r="F145" s="31"/>
      <c r="G145" s="119"/>
      <c r="H145" s="120"/>
      <c r="I145" s="115"/>
      <c r="J145" s="115"/>
      <c r="K145" s="115"/>
      <c r="L145" s="31">
        <f t="shared" ref="L145:Q145" si="110">SUBTOTAL(9,L144:L144)</f>
        <v>0</v>
      </c>
      <c r="M145" s="31">
        <f t="shared" si="110"/>
        <v>0</v>
      </c>
      <c r="N145" s="31">
        <f t="shared" si="110"/>
        <v>0</v>
      </c>
      <c r="O145" s="31">
        <f t="shared" si="110"/>
        <v>0</v>
      </c>
      <c r="P145" s="31">
        <f t="shared" si="110"/>
        <v>0</v>
      </c>
      <c r="Q145" s="31">
        <f t="shared" si="110"/>
        <v>0</v>
      </c>
      <c r="R145" s="31"/>
      <c r="S145" s="31">
        <f t="shared" si="53"/>
        <v>1846.5</v>
      </c>
      <c r="T145" s="31">
        <f>SUBTOTAL(9,T144:T144)</f>
        <v>0</v>
      </c>
      <c r="U145" s="31">
        <f>SUBTOTAL(9,U144:U144)</f>
        <v>0</v>
      </c>
      <c r="V145" s="31">
        <f>SUBTOTAL(9,V144:V144)</f>
        <v>0</v>
      </c>
      <c r="W145" s="31"/>
      <c r="X145" s="31">
        <f t="shared" ref="X145:AH145" si="111">SUBTOTAL(9,X144:X144)</f>
        <v>0</v>
      </c>
      <c r="Y145" s="31">
        <f t="shared" si="111"/>
        <v>0</v>
      </c>
      <c r="Z145" s="31">
        <f t="shared" si="111"/>
        <v>0</v>
      </c>
      <c r="AA145" s="31">
        <f t="shared" si="111"/>
        <v>1846.5</v>
      </c>
      <c r="AB145" s="31">
        <f t="shared" si="111"/>
        <v>1846.5</v>
      </c>
      <c r="AC145" s="31">
        <f t="shared" si="111"/>
        <v>0</v>
      </c>
      <c r="AD145" s="31">
        <f t="shared" si="111"/>
        <v>0</v>
      </c>
      <c r="AE145" s="31">
        <f t="shared" si="111"/>
        <v>0</v>
      </c>
      <c r="AF145" s="31">
        <f t="shared" si="111"/>
        <v>0</v>
      </c>
      <c r="AG145" s="31">
        <f t="shared" si="111"/>
        <v>1846.5</v>
      </c>
      <c r="AH145" s="31">
        <f t="shared" si="111"/>
        <v>0</v>
      </c>
      <c r="AJ145" s="12"/>
    </row>
    <row r="146" spans="1:36" ht="17.399999999999999" customHeight="1" x14ac:dyDescent="0.3">
      <c r="A146" s="6" t="s">
        <v>154</v>
      </c>
      <c r="B146" s="20">
        <v>1048980</v>
      </c>
      <c r="C146" s="83" t="s">
        <v>155</v>
      </c>
      <c r="D146" s="93" t="str">
        <f>IF(W146&gt;0,"zwrócone","")</f>
        <v/>
      </c>
      <c r="E146" s="22">
        <v>2324.6999999999998</v>
      </c>
      <c r="F146" s="22"/>
      <c r="G146" s="24">
        <v>44897</v>
      </c>
      <c r="H146" s="23">
        <v>46706</v>
      </c>
      <c r="I146" s="46">
        <v>0.3</v>
      </c>
      <c r="J146" s="46" t="s">
        <v>206</v>
      </c>
      <c r="K146" s="46" t="s">
        <v>204</v>
      </c>
      <c r="L146" s="30"/>
      <c r="M146" s="30"/>
      <c r="N146" s="30"/>
      <c r="O146" s="53"/>
      <c r="P146" s="25"/>
      <c r="Q146" s="25"/>
      <c r="R146" s="25"/>
      <c r="S146" s="27">
        <f t="shared" si="53"/>
        <v>2324.6999999999998</v>
      </c>
      <c r="T146" s="31"/>
      <c r="U146" s="31"/>
      <c r="V146" s="31"/>
      <c r="W146" s="37"/>
      <c r="X146" s="22"/>
      <c r="Y146" s="22"/>
      <c r="Z146" s="22"/>
      <c r="AA146" s="28">
        <f>S146-Z146-Y146-X146</f>
        <v>2324.6999999999998</v>
      </c>
      <c r="AB146" s="28">
        <f>IF(H146-$AB$1&gt;365,AA146,0)</f>
        <v>2324.6999999999998</v>
      </c>
      <c r="AC146" s="28">
        <f>IF(H146-$AB$1&lt;=365,AA146,0)</f>
        <v>0</v>
      </c>
      <c r="AD146" s="28">
        <f>IF(H146="",AA146,0)</f>
        <v>0</v>
      </c>
      <c r="AE146" s="28">
        <f>IF(AND(H146-$AB$1&gt;365,H146-$AB$1&lt;=730),AB146,0)</f>
        <v>0</v>
      </c>
      <c r="AF146" s="28">
        <f>IF(AND(H146-$AB$1&gt;730,H146-$AB$1&lt;=1095),AB146,0)</f>
        <v>2324.6999999999998</v>
      </c>
      <c r="AG146" s="28">
        <f>IF(AND(H146-$AB$1&gt;1095,H146-$AB$1&lt;=1825),AB146,0)</f>
        <v>0</v>
      </c>
      <c r="AH146" s="28">
        <f>IF(H146-$AB$1&gt;1825,AB146,0)</f>
        <v>0</v>
      </c>
      <c r="AJ146" s="12"/>
    </row>
    <row r="147" spans="1:36" ht="17.399999999999999" customHeight="1" x14ac:dyDescent="0.3">
      <c r="A147" s="115"/>
      <c r="B147" s="116"/>
      <c r="C147" s="117"/>
      <c r="D147" s="118" t="str">
        <f>IF(W147&gt;0,"zwrócone","")</f>
        <v/>
      </c>
      <c r="E147" s="31">
        <f>SUBTOTAL(9,E146:E146)</f>
        <v>2324.6999999999998</v>
      </c>
      <c r="F147" s="31"/>
      <c r="G147" s="119"/>
      <c r="H147" s="120"/>
      <c r="I147" s="115"/>
      <c r="J147" s="115"/>
      <c r="K147" s="115"/>
      <c r="L147" s="31">
        <f t="shared" ref="L147:Q147" si="112">SUBTOTAL(9,L146:L146)</f>
        <v>0</v>
      </c>
      <c r="M147" s="31">
        <f t="shared" si="112"/>
        <v>0</v>
      </c>
      <c r="N147" s="31">
        <f t="shared" si="112"/>
        <v>0</v>
      </c>
      <c r="O147" s="31">
        <f t="shared" si="112"/>
        <v>0</v>
      </c>
      <c r="P147" s="31">
        <f t="shared" si="112"/>
        <v>0</v>
      </c>
      <c r="Q147" s="31">
        <f t="shared" si="112"/>
        <v>0</v>
      </c>
      <c r="R147" s="31"/>
      <c r="S147" s="31">
        <f t="shared" si="53"/>
        <v>2324.6999999999998</v>
      </c>
      <c r="T147" s="31">
        <f>SUBTOTAL(9,T146:T146)</f>
        <v>0</v>
      </c>
      <c r="U147" s="31">
        <f>SUBTOTAL(9,U146:U146)</f>
        <v>0</v>
      </c>
      <c r="V147" s="31">
        <f>SUBTOTAL(9,V146:V146)</f>
        <v>0</v>
      </c>
      <c r="W147" s="31"/>
      <c r="X147" s="31">
        <f t="shared" ref="X147:AH147" si="113">SUBTOTAL(9,X146:X146)</f>
        <v>0</v>
      </c>
      <c r="Y147" s="31">
        <f t="shared" si="113"/>
        <v>0</v>
      </c>
      <c r="Z147" s="31">
        <f t="shared" si="113"/>
        <v>0</v>
      </c>
      <c r="AA147" s="31">
        <f t="shared" si="113"/>
        <v>2324.6999999999998</v>
      </c>
      <c r="AB147" s="31">
        <f t="shared" si="113"/>
        <v>2324.6999999999998</v>
      </c>
      <c r="AC147" s="31">
        <f t="shared" si="113"/>
        <v>0</v>
      </c>
      <c r="AD147" s="31">
        <f t="shared" si="113"/>
        <v>0</v>
      </c>
      <c r="AE147" s="31">
        <f t="shared" si="113"/>
        <v>0</v>
      </c>
      <c r="AF147" s="31">
        <f t="shared" si="113"/>
        <v>2324.6999999999998</v>
      </c>
      <c r="AG147" s="31">
        <f t="shared" si="113"/>
        <v>0</v>
      </c>
      <c r="AH147" s="31">
        <f t="shared" si="113"/>
        <v>0</v>
      </c>
      <c r="AJ147" s="12"/>
    </row>
    <row r="148" spans="1:36" ht="17.399999999999999" customHeight="1" x14ac:dyDescent="0.3">
      <c r="A148" s="6" t="s">
        <v>43</v>
      </c>
      <c r="B148" s="20">
        <v>1049011</v>
      </c>
      <c r="C148" s="21" t="s">
        <v>44</v>
      </c>
      <c r="D148" s="93" t="str">
        <f t="shared" si="109"/>
        <v/>
      </c>
      <c r="E148" s="22">
        <f>52000+979960</f>
        <v>1031960</v>
      </c>
      <c r="F148" s="22"/>
      <c r="G148" s="24" t="s">
        <v>102</v>
      </c>
      <c r="H148" s="84">
        <v>44393</v>
      </c>
      <c r="I148" s="85" t="s">
        <v>220</v>
      </c>
      <c r="J148" s="6" t="s">
        <v>206</v>
      </c>
      <c r="K148" s="6" t="s">
        <v>220</v>
      </c>
      <c r="L148" s="25"/>
      <c r="M148" s="25"/>
      <c r="N148" s="25"/>
      <c r="O148" s="25"/>
      <c r="P148" s="25"/>
      <c r="Q148" s="25"/>
      <c r="R148" s="25"/>
      <c r="S148" s="27">
        <f t="shared" si="53"/>
        <v>1031960</v>
      </c>
      <c r="T148" s="28">
        <f>IF(H148-$T$1&gt;365,S148,0)</f>
        <v>0</v>
      </c>
      <c r="U148" s="28">
        <f>IF(H148-$T$1&lt;365,S148,0)</f>
        <v>1031960</v>
      </c>
      <c r="V148" s="28">
        <f>IF(H148="",S148,0)</f>
        <v>0</v>
      </c>
      <c r="W148" s="8"/>
      <c r="X148" s="28"/>
      <c r="Y148" s="28"/>
      <c r="Z148" s="28"/>
      <c r="AA148" s="28">
        <f>S148-Z148-Y148-X148</f>
        <v>1031960</v>
      </c>
      <c r="AB148" s="28">
        <f>IF(H148-$AB$1&gt;365,AA148,0)</f>
        <v>0</v>
      </c>
      <c r="AC148" s="28">
        <f>IF(H148-$AB$1&lt;=365,AA148,0)</f>
        <v>1031960</v>
      </c>
      <c r="AD148" s="28">
        <f>IF(H148="",AA148,0)</f>
        <v>0</v>
      </c>
      <c r="AE148" s="28">
        <f>IF(AND(H148-$AB$1&gt;365,H148-$AB$1&lt;=730),AB148,0)</f>
        <v>0</v>
      </c>
      <c r="AF148" s="28">
        <f>IF(AND(H148-$AB$1&gt;730,H148-$AB$1&lt;=1095),AB148,0)</f>
        <v>0</v>
      </c>
      <c r="AG148" s="28">
        <f>IF(AND(H148-$AB$1&gt;1095,H148-$AB$1&lt;=1825),AB148,0)</f>
        <v>0</v>
      </c>
      <c r="AH148" s="28">
        <f>IF(H148-$AB$1&gt;1825,AB148,0)</f>
        <v>0</v>
      </c>
      <c r="AJ148" s="12"/>
    </row>
    <row r="149" spans="1:36" ht="17.399999999999999" customHeight="1" x14ac:dyDescent="0.3">
      <c r="A149" s="6" t="s">
        <v>43</v>
      </c>
      <c r="B149" s="20">
        <v>1049011</v>
      </c>
      <c r="C149" s="21" t="s">
        <v>44</v>
      </c>
      <c r="D149" s="93" t="str">
        <f t="shared" si="109"/>
        <v/>
      </c>
      <c r="E149" s="22">
        <v>-722372</v>
      </c>
      <c r="F149" s="22"/>
      <c r="G149" s="24" t="s">
        <v>103</v>
      </c>
      <c r="H149" s="84">
        <v>44393</v>
      </c>
      <c r="I149" s="85" t="s">
        <v>220</v>
      </c>
      <c r="J149" s="6" t="s">
        <v>206</v>
      </c>
      <c r="K149" s="6" t="s">
        <v>220</v>
      </c>
      <c r="L149" s="25"/>
      <c r="M149" s="25"/>
      <c r="N149" s="25"/>
      <c r="O149" s="25"/>
      <c r="P149" s="25"/>
      <c r="Q149" s="25"/>
      <c r="R149" s="25"/>
      <c r="S149" s="27">
        <f t="shared" si="53"/>
        <v>-722372</v>
      </c>
      <c r="T149" s="28">
        <f>IF(H149-$T$1&gt;365,S149,0)</f>
        <v>0</v>
      </c>
      <c r="U149" s="28">
        <f>IF(H149-$T$1&lt;365,S149,0)</f>
        <v>-722372</v>
      </c>
      <c r="V149" s="28">
        <f>IF(H149="",S149,0)</f>
        <v>0</v>
      </c>
      <c r="W149" s="8"/>
      <c r="X149" s="28"/>
      <c r="Y149" s="28"/>
      <c r="Z149" s="28"/>
      <c r="AA149" s="28">
        <f>S149-Z149-Y149-X149</f>
        <v>-722372</v>
      </c>
      <c r="AB149" s="28">
        <f>IF(H149-$AB$1&gt;365,AA149,0)</f>
        <v>0</v>
      </c>
      <c r="AC149" s="28">
        <f>IF(H149-$AB$1&lt;=365,AA149,0)</f>
        <v>-722372</v>
      </c>
      <c r="AD149" s="28">
        <f>IF(H149="",AA149,0)</f>
        <v>0</v>
      </c>
      <c r="AE149" s="28">
        <f>IF(AND(H149-$AB$1&gt;365,H149-$AB$1&lt;=730),AB149,0)</f>
        <v>0</v>
      </c>
      <c r="AF149" s="28">
        <f>IF(AND(H149-$AB$1&gt;730,H149-$AB$1&lt;=1095),AB149,0)</f>
        <v>0</v>
      </c>
      <c r="AG149" s="28">
        <f>IF(AND(H149-$AB$1&gt;1095,H149-$AB$1&lt;=1825),AB149,0)</f>
        <v>0</v>
      </c>
      <c r="AH149" s="28">
        <f>IF(H149-$AB$1&gt;1825,AB149,0)</f>
        <v>0</v>
      </c>
      <c r="AJ149" s="12"/>
    </row>
    <row r="150" spans="1:36" ht="17.399999999999999" customHeight="1" x14ac:dyDescent="0.3">
      <c r="A150" s="115"/>
      <c r="B150" s="116"/>
      <c r="C150" s="117"/>
      <c r="D150" s="118" t="str">
        <f t="shared" si="109"/>
        <v/>
      </c>
      <c r="E150" s="31">
        <f>SUBTOTAL(9,E148:E149)</f>
        <v>309588</v>
      </c>
      <c r="F150" s="31"/>
      <c r="G150" s="119"/>
      <c r="H150" s="120"/>
      <c r="I150" s="115"/>
      <c r="J150" s="115"/>
      <c r="K150" s="115"/>
      <c r="L150" s="31">
        <f t="shared" ref="L150:Q150" si="114">SUBTOTAL(9,L148:L149)</f>
        <v>0</v>
      </c>
      <c r="M150" s="31">
        <f t="shared" si="114"/>
        <v>0</v>
      </c>
      <c r="N150" s="31">
        <f t="shared" si="114"/>
        <v>0</v>
      </c>
      <c r="O150" s="31">
        <f t="shared" si="114"/>
        <v>0</v>
      </c>
      <c r="P150" s="31">
        <f t="shared" si="114"/>
        <v>0</v>
      </c>
      <c r="Q150" s="31">
        <f t="shared" si="114"/>
        <v>0</v>
      </c>
      <c r="R150" s="31"/>
      <c r="S150" s="31">
        <f t="shared" si="53"/>
        <v>309588</v>
      </c>
      <c r="T150" s="31">
        <f>SUBTOTAL(9,T148:T149)</f>
        <v>0</v>
      </c>
      <c r="U150" s="31">
        <f>SUBTOTAL(9,U148:U149)</f>
        <v>309588</v>
      </c>
      <c r="V150" s="31">
        <f>SUBTOTAL(9,V148:V149)</f>
        <v>0</v>
      </c>
      <c r="W150" s="31"/>
      <c r="X150" s="31">
        <f t="shared" ref="X150:AH150" si="115">SUBTOTAL(9,X148:X149)</f>
        <v>0</v>
      </c>
      <c r="Y150" s="31">
        <f t="shared" si="115"/>
        <v>0</v>
      </c>
      <c r="Z150" s="31">
        <f t="shared" si="115"/>
        <v>0</v>
      </c>
      <c r="AA150" s="31">
        <f t="shared" si="115"/>
        <v>309588</v>
      </c>
      <c r="AB150" s="31">
        <f t="shared" si="115"/>
        <v>0</v>
      </c>
      <c r="AC150" s="31">
        <f t="shared" si="115"/>
        <v>309588</v>
      </c>
      <c r="AD150" s="31">
        <f t="shared" si="115"/>
        <v>0</v>
      </c>
      <c r="AE150" s="31">
        <f t="shared" si="115"/>
        <v>0</v>
      </c>
      <c r="AF150" s="31">
        <f t="shared" si="115"/>
        <v>0</v>
      </c>
      <c r="AG150" s="31">
        <f t="shared" si="115"/>
        <v>0</v>
      </c>
      <c r="AH150" s="31">
        <f t="shared" si="115"/>
        <v>0</v>
      </c>
      <c r="AJ150" s="12"/>
    </row>
    <row r="151" spans="1:36" ht="17.399999999999999" customHeight="1" x14ac:dyDescent="0.3">
      <c r="A151" s="6" t="s">
        <v>45</v>
      </c>
      <c r="B151" s="20">
        <v>1049085</v>
      </c>
      <c r="C151" s="83" t="s">
        <v>46</v>
      </c>
      <c r="D151" s="93" t="str">
        <f t="shared" si="109"/>
        <v/>
      </c>
      <c r="E151" s="22">
        <f>ROUND(1282*30%,2)</f>
        <v>384.6</v>
      </c>
      <c r="F151" s="22"/>
      <c r="G151" s="24">
        <v>43865</v>
      </c>
      <c r="H151" s="23">
        <v>45976</v>
      </c>
      <c r="I151" s="46">
        <v>0.3</v>
      </c>
      <c r="J151" s="46" t="s">
        <v>257</v>
      </c>
      <c r="K151" s="6" t="s">
        <v>194</v>
      </c>
      <c r="L151" s="25"/>
      <c r="M151" s="25">
        <v>0.63</v>
      </c>
      <c r="N151" s="25">
        <v>0.14000000000000001</v>
      </c>
      <c r="O151" s="25">
        <v>19.34</v>
      </c>
      <c r="P151" s="25">
        <f>ROUND(((E151*6.01%)/365)*365,2)</f>
        <v>23.11</v>
      </c>
      <c r="Q151" s="25">
        <f>ROUND((E151*5.31%),2)</f>
        <v>20.420000000000002</v>
      </c>
      <c r="R151" s="25"/>
      <c r="S151" s="27">
        <f t="shared" si="53"/>
        <v>448.24</v>
      </c>
      <c r="T151" s="28">
        <f>IF(H151-$T$1&gt;365,S151,0)</f>
        <v>0</v>
      </c>
      <c r="U151" s="28">
        <f>IF(H151-$T$1&lt;365,S151,0)</f>
        <v>448.24</v>
      </c>
      <c r="V151" s="28">
        <f>IF(H151="",S151,0)</f>
        <v>0</v>
      </c>
      <c r="W151" s="8"/>
      <c r="X151" s="28"/>
      <c r="Y151" s="28"/>
      <c r="Z151" s="28"/>
      <c r="AA151" s="28">
        <f>S151-Z151-Y151-X151</f>
        <v>448.24</v>
      </c>
      <c r="AB151" s="28">
        <f>IF(H151-$AB$1&gt;365,AA151,0)</f>
        <v>0</v>
      </c>
      <c r="AC151" s="28">
        <f>IF(H151-$AB$1&lt;=365,AA151,0)</f>
        <v>448.24</v>
      </c>
      <c r="AD151" s="28">
        <f>IF(H151="",AA151,0)</f>
        <v>0</v>
      </c>
      <c r="AE151" s="28">
        <f>IF(AND(H151-$AB$1&gt;365,H151-$AB$1&lt;=730),AB151,0)</f>
        <v>0</v>
      </c>
      <c r="AF151" s="28">
        <f>IF(AND(H151-$AB$1&gt;730,H151-$AB$1&lt;=1095),AB151,0)</f>
        <v>0</v>
      </c>
      <c r="AG151" s="28">
        <f>IF(AND(H151-$AB$1&gt;1095,H151-$AB$1&lt;=1825),AB151,0)</f>
        <v>0</v>
      </c>
      <c r="AH151" s="28">
        <f>IF(H151-$AB$1&gt;1825,AB151,0)</f>
        <v>0</v>
      </c>
    </row>
    <row r="152" spans="1:36" ht="17.399999999999999" customHeight="1" x14ac:dyDescent="0.3">
      <c r="A152" s="6" t="s">
        <v>45</v>
      </c>
      <c r="B152" s="20">
        <v>1049085</v>
      </c>
      <c r="C152" s="83" t="s">
        <v>47</v>
      </c>
      <c r="D152" s="93" t="str">
        <f t="shared" si="109"/>
        <v/>
      </c>
      <c r="E152" s="22">
        <f>ROUND(58000*30%,2)</f>
        <v>17400</v>
      </c>
      <c r="F152" s="22"/>
      <c r="G152" s="24">
        <v>44155</v>
      </c>
      <c r="H152" s="23">
        <v>46127</v>
      </c>
      <c r="I152" s="6"/>
      <c r="J152" s="6" t="s">
        <v>257</v>
      </c>
      <c r="K152" s="6" t="s">
        <v>194</v>
      </c>
      <c r="L152" s="25"/>
      <c r="M152" s="25"/>
      <c r="N152" s="25"/>
      <c r="O152" s="25">
        <v>875.04</v>
      </c>
      <c r="P152" s="25">
        <f>ROUND(((E152*6.01%)/365)*365,2)</f>
        <v>1045.74</v>
      </c>
      <c r="Q152" s="25">
        <f>ROUND((E152*5.31%),2)</f>
        <v>923.94</v>
      </c>
      <c r="R152" s="25"/>
      <c r="S152" s="27">
        <f t="shared" si="53"/>
        <v>20244.72</v>
      </c>
      <c r="T152" s="28">
        <f>IF(H152-$T$1&gt;365,S152,0)</f>
        <v>0</v>
      </c>
      <c r="U152" s="28">
        <f>IF(H152-$T$1&lt;365,S152,0)</f>
        <v>20244.72</v>
      </c>
      <c r="V152" s="28">
        <f>IF(H152="",S152,0)</f>
        <v>0</v>
      </c>
      <c r="W152" s="8"/>
      <c r="X152" s="28"/>
      <c r="Y152" s="28"/>
      <c r="Z152" s="28"/>
      <c r="AA152" s="28">
        <f>S152-Z152-Y152-X152</f>
        <v>20244.72</v>
      </c>
      <c r="AB152" s="28">
        <f>IF(H152-$AB$1&gt;365,AA152,0)</f>
        <v>0</v>
      </c>
      <c r="AC152" s="28">
        <f>IF(H152-$AB$1&lt;=365,AA152,0)</f>
        <v>20244.72</v>
      </c>
      <c r="AD152" s="28">
        <f>IF(H152="",AA152,0)</f>
        <v>0</v>
      </c>
      <c r="AE152" s="28">
        <f>IF(AND(H152-$AB$1&gt;365,H152-$AB$1&lt;=730),AB152,0)</f>
        <v>0</v>
      </c>
      <c r="AF152" s="28">
        <f>IF(AND(H152-$AB$1&gt;730,H152-$AB$1&lt;=1095),AB152,0)</f>
        <v>0</v>
      </c>
      <c r="AG152" s="28">
        <f>IF(AND(H152-$AB$1&gt;1095,H152-$AB$1&lt;=1825),AB152,0)</f>
        <v>0</v>
      </c>
      <c r="AH152" s="28">
        <f>IF(H152-$AB$1&gt;1825,AB152,0)</f>
        <v>0</v>
      </c>
    </row>
    <row r="153" spans="1:36" ht="17.399999999999999" customHeight="1" x14ac:dyDescent="0.3">
      <c r="A153" s="115"/>
      <c r="B153" s="116"/>
      <c r="C153" s="117"/>
      <c r="D153" s="118" t="str">
        <f t="shared" si="109"/>
        <v/>
      </c>
      <c r="E153" s="31">
        <f>SUBTOTAL(9,E151:E152)</f>
        <v>17784.599999999999</v>
      </c>
      <c r="F153" s="31"/>
      <c r="G153" s="119"/>
      <c r="H153" s="120"/>
      <c r="I153" s="115"/>
      <c r="J153" s="115"/>
      <c r="K153" s="115"/>
      <c r="L153" s="31">
        <f t="shared" ref="L153:Q153" si="116">SUBTOTAL(9,L151:L152)</f>
        <v>0</v>
      </c>
      <c r="M153" s="31">
        <f t="shared" si="116"/>
        <v>0.63</v>
      </c>
      <c r="N153" s="31">
        <f t="shared" si="116"/>
        <v>0.14000000000000001</v>
      </c>
      <c r="O153" s="31">
        <f t="shared" si="116"/>
        <v>894.38</v>
      </c>
      <c r="P153" s="31">
        <f t="shared" si="116"/>
        <v>1068.8499999999999</v>
      </c>
      <c r="Q153" s="31">
        <f t="shared" si="116"/>
        <v>944.36</v>
      </c>
      <c r="R153" s="31"/>
      <c r="S153" s="31">
        <f t="shared" si="53"/>
        <v>20692.96</v>
      </c>
      <c r="T153" s="31">
        <f>SUBTOTAL(9,T151:T152)</f>
        <v>0</v>
      </c>
      <c r="U153" s="31">
        <f>SUBTOTAL(9,U151:U152)</f>
        <v>20692.960000000003</v>
      </c>
      <c r="V153" s="31">
        <f>SUBTOTAL(9,V151:V152)</f>
        <v>0</v>
      </c>
      <c r="W153" s="31"/>
      <c r="X153" s="31">
        <f t="shared" ref="X153:AH153" si="117">SUBTOTAL(9,X151:X152)</f>
        <v>0</v>
      </c>
      <c r="Y153" s="31">
        <f t="shared" si="117"/>
        <v>0</v>
      </c>
      <c r="Z153" s="31">
        <f t="shared" si="117"/>
        <v>0</v>
      </c>
      <c r="AA153" s="31">
        <f t="shared" si="117"/>
        <v>20692.960000000003</v>
      </c>
      <c r="AB153" s="31">
        <f t="shared" si="117"/>
        <v>0</v>
      </c>
      <c r="AC153" s="31">
        <f t="shared" si="117"/>
        <v>20692.960000000003</v>
      </c>
      <c r="AD153" s="31">
        <f t="shared" si="117"/>
        <v>0</v>
      </c>
      <c r="AE153" s="31">
        <f t="shared" si="117"/>
        <v>0</v>
      </c>
      <c r="AF153" s="31">
        <f t="shared" si="117"/>
        <v>0</v>
      </c>
      <c r="AG153" s="31">
        <f t="shared" si="117"/>
        <v>0</v>
      </c>
      <c r="AH153" s="31">
        <f t="shared" si="117"/>
        <v>0</v>
      </c>
      <c r="AJ153" s="12"/>
    </row>
    <row r="154" spans="1:36" ht="17.399999999999999" customHeight="1" x14ac:dyDescent="0.3">
      <c r="A154" s="90" t="s">
        <v>48</v>
      </c>
      <c r="B154" s="83">
        <v>1050395</v>
      </c>
      <c r="C154" s="83" t="s">
        <v>172</v>
      </c>
      <c r="D154" s="93" t="str">
        <f t="shared" si="109"/>
        <v/>
      </c>
      <c r="E154" s="22">
        <v>1410</v>
      </c>
      <c r="F154" s="22"/>
      <c r="G154" s="24">
        <v>44958</v>
      </c>
      <c r="H154" s="23">
        <v>46111</v>
      </c>
      <c r="I154" s="46">
        <v>0.3</v>
      </c>
      <c r="J154" s="46" t="s">
        <v>206</v>
      </c>
      <c r="K154" s="6" t="s">
        <v>204</v>
      </c>
      <c r="L154" s="25"/>
      <c r="M154" s="25"/>
      <c r="N154" s="25"/>
      <c r="O154" s="25"/>
      <c r="P154" s="25"/>
      <c r="Q154" s="25"/>
      <c r="R154" s="25"/>
      <c r="S154" s="27">
        <f t="shared" si="53"/>
        <v>1410</v>
      </c>
      <c r="T154" s="28"/>
      <c r="U154" s="28"/>
      <c r="V154" s="28"/>
      <c r="W154" s="37"/>
      <c r="X154" s="28"/>
      <c r="Y154" s="28"/>
      <c r="Z154" s="28"/>
      <c r="AA154" s="28">
        <f>S154-Z154-Y154-X154</f>
        <v>1410</v>
      </c>
      <c r="AB154" s="28">
        <f>IF(H154-$AB$1&gt;365,AA154,0)</f>
        <v>0</v>
      </c>
      <c r="AC154" s="28">
        <f>IF(H154-$AB$1&lt;=365,AA154,0)</f>
        <v>1410</v>
      </c>
      <c r="AD154" s="28">
        <f>IF(H154="",AA154,0)</f>
        <v>0</v>
      </c>
      <c r="AE154" s="28">
        <f>IF(AND(H154-$AB$1&gt;365,H154-$AB$1&lt;=730),AB154,0)</f>
        <v>0</v>
      </c>
      <c r="AF154" s="28">
        <f>IF(AND(H154-$AB$1&gt;730,H154-$AB$1&lt;=1095),AB154,0)</f>
        <v>0</v>
      </c>
      <c r="AG154" s="28">
        <f>IF(AND(H154-$AB$1&gt;1095,H154-$AB$1&lt;=1825),AB154,0)</f>
        <v>0</v>
      </c>
      <c r="AH154" s="28">
        <f>IF(H154-$AB$1&gt;1825,AB154,0)</f>
        <v>0</v>
      </c>
      <c r="AJ154" s="12"/>
    </row>
    <row r="155" spans="1:36" ht="17.399999999999999" customHeight="1" x14ac:dyDescent="0.3">
      <c r="A155" s="130"/>
      <c r="B155" s="117"/>
      <c r="C155" s="117"/>
      <c r="D155" s="118" t="str">
        <f t="shared" si="109"/>
        <v/>
      </c>
      <c r="E155" s="31">
        <f>SUBTOTAL(9,E154:E154)</f>
        <v>1410</v>
      </c>
      <c r="F155" s="31"/>
      <c r="G155" s="31"/>
      <c r="H155" s="31"/>
      <c r="I155" s="31"/>
      <c r="J155" s="31"/>
      <c r="K155" s="31"/>
      <c r="L155" s="31">
        <f t="shared" ref="L155:Q155" si="118">SUBTOTAL(9,L154:L154)</f>
        <v>0</v>
      </c>
      <c r="M155" s="31">
        <f t="shared" si="118"/>
        <v>0</v>
      </c>
      <c r="N155" s="31">
        <f t="shared" si="118"/>
        <v>0</v>
      </c>
      <c r="O155" s="31">
        <f t="shared" si="118"/>
        <v>0</v>
      </c>
      <c r="P155" s="31">
        <f t="shared" si="118"/>
        <v>0</v>
      </c>
      <c r="Q155" s="31">
        <f t="shared" si="118"/>
        <v>0</v>
      </c>
      <c r="R155" s="31"/>
      <c r="S155" s="31">
        <f t="shared" si="53"/>
        <v>1410</v>
      </c>
      <c r="T155" s="31">
        <f>SUBTOTAL(9,T154:T154)</f>
        <v>0</v>
      </c>
      <c r="U155" s="31">
        <f>SUBTOTAL(9,U154:U154)</f>
        <v>0</v>
      </c>
      <c r="V155" s="31">
        <f>SUBTOTAL(9,V154:V154)</f>
        <v>0</v>
      </c>
      <c r="W155" s="31"/>
      <c r="X155" s="31">
        <f t="shared" ref="X155:AH155" si="119">SUBTOTAL(9,X154:X154)</f>
        <v>0</v>
      </c>
      <c r="Y155" s="31">
        <f t="shared" si="119"/>
        <v>0</v>
      </c>
      <c r="Z155" s="31">
        <f t="shared" si="119"/>
        <v>0</v>
      </c>
      <c r="AA155" s="31">
        <f t="shared" si="119"/>
        <v>1410</v>
      </c>
      <c r="AB155" s="31">
        <f t="shared" si="119"/>
        <v>0</v>
      </c>
      <c r="AC155" s="31">
        <f t="shared" si="119"/>
        <v>1410</v>
      </c>
      <c r="AD155" s="31">
        <f t="shared" si="119"/>
        <v>0</v>
      </c>
      <c r="AE155" s="31">
        <f t="shared" si="119"/>
        <v>0</v>
      </c>
      <c r="AF155" s="31">
        <f t="shared" si="119"/>
        <v>0</v>
      </c>
      <c r="AG155" s="31">
        <f t="shared" si="119"/>
        <v>0</v>
      </c>
      <c r="AH155" s="31">
        <f t="shared" si="119"/>
        <v>0</v>
      </c>
      <c r="AJ155" s="12"/>
    </row>
    <row r="156" spans="1:36" ht="17.399999999999999" customHeight="1" x14ac:dyDescent="0.3">
      <c r="A156" s="6" t="s">
        <v>49</v>
      </c>
      <c r="B156" s="20">
        <v>1051153</v>
      </c>
      <c r="C156" s="33" t="s">
        <v>159</v>
      </c>
      <c r="D156" s="93" t="str">
        <f t="shared" si="109"/>
        <v/>
      </c>
      <c r="E156" s="22">
        <v>4015.52</v>
      </c>
      <c r="F156" s="22" t="s">
        <v>158</v>
      </c>
      <c r="G156" s="24">
        <v>44907</v>
      </c>
      <c r="H156" s="23">
        <v>46026</v>
      </c>
      <c r="I156" s="46">
        <v>0.3</v>
      </c>
      <c r="J156" s="46" t="s">
        <v>257</v>
      </c>
      <c r="K156" s="6" t="s">
        <v>203</v>
      </c>
      <c r="L156" s="25"/>
      <c r="M156" s="25"/>
      <c r="N156" s="25"/>
      <c r="O156" s="25">
        <v>12.9</v>
      </c>
      <c r="P156" s="25">
        <f>ROUND(((E156*6.01%)/365)*365,2)</f>
        <v>241.33</v>
      </c>
      <c r="Q156" s="25">
        <f>ROUND((E156*5.31%),2)</f>
        <v>213.22</v>
      </c>
      <c r="R156" s="25"/>
      <c r="S156" s="27">
        <f t="shared" si="53"/>
        <v>4482.97</v>
      </c>
      <c r="T156" s="28"/>
      <c r="U156" s="28"/>
      <c r="V156" s="28"/>
      <c r="W156" s="8"/>
      <c r="X156" s="28"/>
      <c r="Y156" s="28"/>
      <c r="Z156" s="28"/>
      <c r="AA156" s="28">
        <f>S156-Z156-Y156-X156</f>
        <v>4482.97</v>
      </c>
      <c r="AB156" s="28">
        <f t="shared" ref="AB156:AB167" si="120">IF(H156-$AB$1&gt;365,AA156,0)</f>
        <v>0</v>
      </c>
      <c r="AC156" s="28">
        <f t="shared" ref="AC156:AC167" si="121">IF(H156-$AB$1&lt;=365,AA156,0)</f>
        <v>4482.97</v>
      </c>
      <c r="AD156" s="28">
        <f t="shared" ref="AD156:AD167" si="122">IF(H156="",AA156,0)</f>
        <v>0</v>
      </c>
      <c r="AE156" s="28">
        <f t="shared" ref="AE156:AE167" si="123">IF(AND(H156-$AB$1&gt;365,H156-$AB$1&lt;=730),AB156,0)</f>
        <v>0</v>
      </c>
      <c r="AF156" s="28">
        <f t="shared" ref="AF156:AF167" si="124">IF(AND(H156-$AB$1&gt;730,H156-$AB$1&lt;=1095),AB156,0)</f>
        <v>0</v>
      </c>
      <c r="AG156" s="28">
        <f t="shared" ref="AG156:AG167" si="125">IF(AND(H156-$AB$1&gt;1095,H156-$AB$1&lt;=1825),AB156,0)</f>
        <v>0</v>
      </c>
      <c r="AH156" s="28">
        <f t="shared" ref="AH156:AH167" si="126">IF(H156-$AB$1&gt;1825,AB156,0)</f>
        <v>0</v>
      </c>
    </row>
    <row r="157" spans="1:36" ht="17.399999999999999" customHeight="1" x14ac:dyDescent="0.3">
      <c r="A157" s="85" t="s">
        <v>49</v>
      </c>
      <c r="B157" s="183">
        <v>1051153</v>
      </c>
      <c r="C157" s="187" t="s">
        <v>162</v>
      </c>
      <c r="D157" s="158" t="str">
        <f t="shared" si="109"/>
        <v>zwrócone</v>
      </c>
      <c r="E157" s="159">
        <v>15750</v>
      </c>
      <c r="F157" s="159" t="s">
        <v>158</v>
      </c>
      <c r="G157" s="160">
        <v>44928</v>
      </c>
      <c r="H157" s="84">
        <v>45750</v>
      </c>
      <c r="I157" s="46">
        <v>0.3</v>
      </c>
      <c r="J157" s="46" t="s">
        <v>206</v>
      </c>
      <c r="K157" s="6" t="s">
        <v>203</v>
      </c>
      <c r="L157" s="25"/>
      <c r="M157" s="25"/>
      <c r="N157" s="25"/>
      <c r="O157" s="25"/>
      <c r="P157" s="25"/>
      <c r="Q157" s="25"/>
      <c r="R157" s="25"/>
      <c r="S157" s="27">
        <f t="shared" si="53"/>
        <v>15750</v>
      </c>
      <c r="T157" s="28"/>
      <c r="U157" s="28"/>
      <c r="V157" s="28"/>
      <c r="W157" s="37">
        <v>45764</v>
      </c>
      <c r="X157" s="28"/>
      <c r="Y157" s="28"/>
      <c r="Z157" s="28">
        <v>15750</v>
      </c>
      <c r="AA157" s="28">
        <f t="shared" ref="AA157:AA167" si="127">S157-Z157-Y157-X157</f>
        <v>0</v>
      </c>
      <c r="AB157" s="28">
        <f t="shared" si="120"/>
        <v>0</v>
      </c>
      <c r="AC157" s="28">
        <f t="shared" si="121"/>
        <v>0</v>
      </c>
      <c r="AD157" s="28">
        <f t="shared" si="122"/>
        <v>0</v>
      </c>
      <c r="AE157" s="28">
        <f t="shared" si="123"/>
        <v>0</v>
      </c>
      <c r="AF157" s="28">
        <f t="shared" si="124"/>
        <v>0</v>
      </c>
      <c r="AG157" s="28">
        <f t="shared" si="125"/>
        <v>0</v>
      </c>
      <c r="AH157" s="28">
        <f t="shared" si="126"/>
        <v>0</v>
      </c>
      <c r="AJ157" s="12"/>
    </row>
    <row r="158" spans="1:36" ht="17.399999999999999" customHeight="1" x14ac:dyDescent="0.3">
      <c r="A158" s="85" t="s">
        <v>49</v>
      </c>
      <c r="B158" s="183">
        <v>1051153</v>
      </c>
      <c r="C158" s="187" t="s">
        <v>163</v>
      </c>
      <c r="D158" s="158" t="str">
        <f t="shared" si="109"/>
        <v>zwrócone</v>
      </c>
      <c r="E158" s="159">
        <v>18450</v>
      </c>
      <c r="F158" s="159" t="s">
        <v>158</v>
      </c>
      <c r="G158" s="160">
        <v>44928</v>
      </c>
      <c r="H158" s="84">
        <v>45750</v>
      </c>
      <c r="I158" s="46">
        <v>0.3</v>
      </c>
      <c r="J158" s="46" t="s">
        <v>206</v>
      </c>
      <c r="K158" s="6" t="s">
        <v>203</v>
      </c>
      <c r="L158" s="25"/>
      <c r="M158" s="25"/>
      <c r="N158" s="25"/>
      <c r="O158" s="25"/>
      <c r="P158" s="25"/>
      <c r="Q158" s="25"/>
      <c r="R158" s="25"/>
      <c r="S158" s="27">
        <f t="shared" ref="S158:S230" si="128">E158+L158+M158+N158+P158+O158+Q158+R158</f>
        <v>18450</v>
      </c>
      <c r="T158" s="28"/>
      <c r="U158" s="28"/>
      <c r="V158" s="28"/>
      <c r="W158" s="37">
        <v>45764</v>
      </c>
      <c r="X158" s="28"/>
      <c r="Y158" s="28"/>
      <c r="Z158" s="28">
        <v>18450</v>
      </c>
      <c r="AA158" s="28">
        <f t="shared" si="127"/>
        <v>0</v>
      </c>
      <c r="AB158" s="28">
        <f t="shared" si="120"/>
        <v>0</v>
      </c>
      <c r="AC158" s="28">
        <f t="shared" si="121"/>
        <v>0</v>
      </c>
      <c r="AD158" s="28">
        <f t="shared" si="122"/>
        <v>0</v>
      </c>
      <c r="AE158" s="28">
        <f t="shared" si="123"/>
        <v>0</v>
      </c>
      <c r="AF158" s="28">
        <f t="shared" si="124"/>
        <v>0</v>
      </c>
      <c r="AG158" s="28">
        <f t="shared" si="125"/>
        <v>0</v>
      </c>
      <c r="AH158" s="28">
        <f t="shared" si="126"/>
        <v>0</v>
      </c>
      <c r="AJ158" s="12"/>
    </row>
    <row r="159" spans="1:36" ht="17.399999999999999" customHeight="1" x14ac:dyDescent="0.3">
      <c r="A159" s="85" t="s">
        <v>49</v>
      </c>
      <c r="B159" s="183">
        <v>1051153</v>
      </c>
      <c r="C159" s="187" t="s">
        <v>181</v>
      </c>
      <c r="D159" s="158" t="str">
        <f t="shared" si="109"/>
        <v>zwrócone</v>
      </c>
      <c r="E159" s="159">
        <v>5022</v>
      </c>
      <c r="F159" s="159" t="s">
        <v>158</v>
      </c>
      <c r="G159" s="160">
        <v>45012</v>
      </c>
      <c r="H159" s="84">
        <v>45731</v>
      </c>
      <c r="I159" s="46">
        <v>0.3</v>
      </c>
      <c r="J159" s="46" t="s">
        <v>206</v>
      </c>
      <c r="K159" s="6" t="s">
        <v>203</v>
      </c>
      <c r="L159" s="25"/>
      <c r="M159" s="25"/>
      <c r="N159" s="25"/>
      <c r="O159" s="25"/>
      <c r="P159" s="25"/>
      <c r="Q159" s="25"/>
      <c r="R159" s="25"/>
      <c r="S159" s="27">
        <f t="shared" si="128"/>
        <v>5022</v>
      </c>
      <c r="T159" s="28"/>
      <c r="U159" s="28"/>
      <c r="V159" s="28"/>
      <c r="W159" s="37">
        <v>45730</v>
      </c>
      <c r="X159" s="28"/>
      <c r="Y159" s="28"/>
      <c r="Z159" s="28">
        <v>5022</v>
      </c>
      <c r="AA159" s="28">
        <f t="shared" si="127"/>
        <v>0</v>
      </c>
      <c r="AB159" s="28">
        <f t="shared" si="120"/>
        <v>0</v>
      </c>
      <c r="AC159" s="28">
        <f t="shared" si="121"/>
        <v>0</v>
      </c>
      <c r="AD159" s="28">
        <f t="shared" si="122"/>
        <v>0</v>
      </c>
      <c r="AE159" s="28">
        <f t="shared" si="123"/>
        <v>0</v>
      </c>
      <c r="AF159" s="28">
        <f t="shared" si="124"/>
        <v>0</v>
      </c>
      <c r="AG159" s="28">
        <f t="shared" si="125"/>
        <v>0</v>
      </c>
      <c r="AH159" s="28">
        <f t="shared" si="126"/>
        <v>0</v>
      </c>
      <c r="AJ159" s="12"/>
    </row>
    <row r="160" spans="1:36" ht="17.399999999999999" customHeight="1" x14ac:dyDescent="0.3">
      <c r="A160" s="6" t="s">
        <v>49</v>
      </c>
      <c r="B160" s="20">
        <v>1051153</v>
      </c>
      <c r="C160" s="33" t="s">
        <v>189</v>
      </c>
      <c r="D160" s="93" t="str">
        <f t="shared" si="109"/>
        <v/>
      </c>
      <c r="E160" s="22">
        <v>7260</v>
      </c>
      <c r="F160" s="22" t="s">
        <v>158</v>
      </c>
      <c r="G160" s="24">
        <v>45005</v>
      </c>
      <c r="H160" s="23">
        <v>46496</v>
      </c>
      <c r="I160" s="46">
        <v>0.3</v>
      </c>
      <c r="J160" s="46" t="s">
        <v>206</v>
      </c>
      <c r="K160" s="6" t="s">
        <v>203</v>
      </c>
      <c r="L160" s="25"/>
      <c r="M160" s="25"/>
      <c r="N160" s="25"/>
      <c r="O160" s="25"/>
      <c r="P160" s="25"/>
      <c r="Q160" s="25"/>
      <c r="R160" s="25"/>
      <c r="S160" s="27">
        <f t="shared" si="128"/>
        <v>7260</v>
      </c>
      <c r="T160" s="28"/>
      <c r="U160" s="28"/>
      <c r="V160" s="28"/>
      <c r="W160" s="8"/>
      <c r="X160" s="28"/>
      <c r="Y160" s="28"/>
      <c r="Z160" s="28"/>
      <c r="AA160" s="28">
        <f t="shared" si="127"/>
        <v>7260</v>
      </c>
      <c r="AB160" s="28">
        <f t="shared" si="120"/>
        <v>7260</v>
      </c>
      <c r="AC160" s="28">
        <f t="shared" si="121"/>
        <v>0</v>
      </c>
      <c r="AD160" s="28">
        <f t="shared" si="122"/>
        <v>0</v>
      </c>
      <c r="AE160" s="28">
        <f t="shared" si="123"/>
        <v>7260</v>
      </c>
      <c r="AF160" s="28">
        <f t="shared" si="124"/>
        <v>0</v>
      </c>
      <c r="AG160" s="28">
        <f t="shared" si="125"/>
        <v>0</v>
      </c>
      <c r="AH160" s="28">
        <f t="shared" si="126"/>
        <v>0</v>
      </c>
      <c r="AJ160" s="12"/>
    </row>
    <row r="161" spans="1:36" ht="17.399999999999999" customHeight="1" x14ac:dyDescent="0.3">
      <c r="A161" s="85" t="s">
        <v>49</v>
      </c>
      <c r="B161" s="183">
        <v>1051153</v>
      </c>
      <c r="C161" s="187" t="s">
        <v>185</v>
      </c>
      <c r="D161" s="158" t="str">
        <f t="shared" si="109"/>
        <v>zwrócone</v>
      </c>
      <c r="E161" s="159">
        <v>1608</v>
      </c>
      <c r="F161" s="159" t="s">
        <v>158</v>
      </c>
      <c r="G161" s="160">
        <v>45016</v>
      </c>
      <c r="H161" s="84">
        <v>45741</v>
      </c>
      <c r="I161" s="46">
        <v>0.3</v>
      </c>
      <c r="J161" s="46" t="s">
        <v>206</v>
      </c>
      <c r="K161" s="6" t="s">
        <v>203</v>
      </c>
      <c r="L161" s="25"/>
      <c r="M161" s="25"/>
      <c r="N161" s="25"/>
      <c r="O161" s="25"/>
      <c r="P161" s="25"/>
      <c r="Q161" s="25"/>
      <c r="R161" s="25"/>
      <c r="S161" s="27">
        <f t="shared" si="128"/>
        <v>1608</v>
      </c>
      <c r="T161" s="28"/>
      <c r="U161" s="28"/>
      <c r="V161" s="28"/>
      <c r="W161" s="37">
        <v>45763</v>
      </c>
      <c r="X161" s="28"/>
      <c r="Y161" s="28"/>
      <c r="Z161" s="28">
        <v>1608</v>
      </c>
      <c r="AA161" s="28">
        <f t="shared" si="127"/>
        <v>0</v>
      </c>
      <c r="AB161" s="28">
        <f t="shared" si="120"/>
        <v>0</v>
      </c>
      <c r="AC161" s="28">
        <f t="shared" si="121"/>
        <v>0</v>
      </c>
      <c r="AD161" s="28">
        <f t="shared" si="122"/>
        <v>0</v>
      </c>
      <c r="AE161" s="28">
        <f t="shared" si="123"/>
        <v>0</v>
      </c>
      <c r="AF161" s="28">
        <f t="shared" si="124"/>
        <v>0</v>
      </c>
      <c r="AG161" s="28">
        <f t="shared" si="125"/>
        <v>0</v>
      </c>
      <c r="AH161" s="28">
        <f t="shared" si="126"/>
        <v>0</v>
      </c>
      <c r="AJ161" s="12"/>
    </row>
    <row r="162" spans="1:36" ht="17.399999999999999" customHeight="1" x14ac:dyDescent="0.3">
      <c r="A162" s="6" t="s">
        <v>49</v>
      </c>
      <c r="B162" s="20">
        <v>1051153</v>
      </c>
      <c r="C162" s="33" t="s">
        <v>207</v>
      </c>
      <c r="D162" s="93" t="str">
        <f t="shared" si="109"/>
        <v/>
      </c>
      <c r="E162" s="22">
        <v>4915.1400000000003</v>
      </c>
      <c r="F162" s="22" t="s">
        <v>158</v>
      </c>
      <c r="G162" s="24">
        <v>45043</v>
      </c>
      <c r="H162" s="23">
        <v>46053</v>
      </c>
      <c r="I162" s="46">
        <v>0.3</v>
      </c>
      <c r="J162" s="46" t="s">
        <v>206</v>
      </c>
      <c r="K162" s="6" t="s">
        <v>203</v>
      </c>
      <c r="L162" s="25"/>
      <c r="M162" s="25"/>
      <c r="N162" s="25"/>
      <c r="O162" s="25"/>
      <c r="P162" s="25"/>
      <c r="Q162" s="25"/>
      <c r="R162" s="25"/>
      <c r="S162" s="27">
        <f t="shared" si="128"/>
        <v>4915.1400000000003</v>
      </c>
      <c r="T162" s="28"/>
      <c r="U162" s="28"/>
      <c r="V162" s="28"/>
      <c r="W162" s="8"/>
      <c r="X162" s="28"/>
      <c r="Y162" s="28"/>
      <c r="Z162" s="28"/>
      <c r="AA162" s="28">
        <f t="shared" si="127"/>
        <v>4915.1400000000003</v>
      </c>
      <c r="AB162" s="28">
        <f t="shared" si="120"/>
        <v>0</v>
      </c>
      <c r="AC162" s="28">
        <f t="shared" si="121"/>
        <v>4915.1400000000003</v>
      </c>
      <c r="AD162" s="28">
        <f t="shared" si="122"/>
        <v>0</v>
      </c>
      <c r="AE162" s="28">
        <f t="shared" si="123"/>
        <v>0</v>
      </c>
      <c r="AF162" s="28">
        <f t="shared" si="124"/>
        <v>0</v>
      </c>
      <c r="AG162" s="28">
        <f t="shared" si="125"/>
        <v>0</v>
      </c>
      <c r="AH162" s="28">
        <f t="shared" si="126"/>
        <v>0</v>
      </c>
      <c r="AJ162" s="12"/>
    </row>
    <row r="163" spans="1:36" ht="17.399999999999999" customHeight="1" x14ac:dyDescent="0.3">
      <c r="A163" s="6" t="s">
        <v>49</v>
      </c>
      <c r="B163" s="20">
        <v>1051153</v>
      </c>
      <c r="C163" s="33" t="s">
        <v>234</v>
      </c>
      <c r="D163" s="93" t="str">
        <f t="shared" si="109"/>
        <v/>
      </c>
      <c r="E163" s="22">
        <v>1960.44</v>
      </c>
      <c r="F163" s="22" t="s">
        <v>158</v>
      </c>
      <c r="G163" s="24">
        <v>45140</v>
      </c>
      <c r="H163" s="23">
        <v>46233</v>
      </c>
      <c r="I163" s="46">
        <v>0.3</v>
      </c>
      <c r="J163" s="46" t="s">
        <v>206</v>
      </c>
      <c r="K163" s="6" t="s">
        <v>203</v>
      </c>
      <c r="L163" s="25"/>
      <c r="M163" s="25"/>
      <c r="N163" s="25"/>
      <c r="O163" s="25"/>
      <c r="P163" s="25"/>
      <c r="Q163" s="25"/>
      <c r="R163" s="25"/>
      <c r="S163" s="27">
        <f t="shared" si="128"/>
        <v>1960.44</v>
      </c>
      <c r="T163" s="28"/>
      <c r="U163" s="28"/>
      <c r="V163" s="28"/>
      <c r="W163" s="8"/>
      <c r="X163" s="28"/>
      <c r="Y163" s="28"/>
      <c r="Z163" s="28"/>
      <c r="AA163" s="28">
        <f t="shared" si="127"/>
        <v>1960.44</v>
      </c>
      <c r="AB163" s="28">
        <f t="shared" si="120"/>
        <v>0</v>
      </c>
      <c r="AC163" s="28">
        <f t="shared" si="121"/>
        <v>1960.44</v>
      </c>
      <c r="AD163" s="28">
        <f t="shared" si="122"/>
        <v>0</v>
      </c>
      <c r="AE163" s="28">
        <f t="shared" si="123"/>
        <v>0</v>
      </c>
      <c r="AF163" s="28">
        <f t="shared" si="124"/>
        <v>0</v>
      </c>
      <c r="AG163" s="28">
        <f t="shared" si="125"/>
        <v>0</v>
      </c>
      <c r="AH163" s="28">
        <f t="shared" si="126"/>
        <v>0</v>
      </c>
      <c r="AJ163" s="12"/>
    </row>
    <row r="164" spans="1:36" ht="17.399999999999999" customHeight="1" x14ac:dyDescent="0.3">
      <c r="A164" s="6" t="s">
        <v>49</v>
      </c>
      <c r="B164" s="20">
        <v>1051153</v>
      </c>
      <c r="C164" s="33" t="s">
        <v>247</v>
      </c>
      <c r="D164" s="93" t="str">
        <f t="shared" si="109"/>
        <v/>
      </c>
      <c r="E164" s="22">
        <v>2683.8</v>
      </c>
      <c r="F164" s="22" t="s">
        <v>158</v>
      </c>
      <c r="G164" s="24">
        <v>45169</v>
      </c>
      <c r="H164" s="23">
        <v>46248</v>
      </c>
      <c r="I164" s="46">
        <v>0.3</v>
      </c>
      <c r="J164" s="46" t="s">
        <v>206</v>
      </c>
      <c r="K164" s="6" t="s">
        <v>203</v>
      </c>
      <c r="L164" s="25"/>
      <c r="M164" s="25"/>
      <c r="N164" s="25"/>
      <c r="O164" s="25"/>
      <c r="P164" s="25"/>
      <c r="Q164" s="25"/>
      <c r="R164" s="25"/>
      <c r="S164" s="27">
        <f t="shared" si="128"/>
        <v>2683.8</v>
      </c>
      <c r="T164" s="28"/>
      <c r="U164" s="28"/>
      <c r="V164" s="28"/>
      <c r="W164" s="8"/>
      <c r="X164" s="28"/>
      <c r="Y164" s="28"/>
      <c r="Z164" s="28"/>
      <c r="AA164" s="28">
        <f t="shared" si="127"/>
        <v>2683.8</v>
      </c>
      <c r="AB164" s="28">
        <f t="shared" si="120"/>
        <v>0</v>
      </c>
      <c r="AC164" s="28">
        <f t="shared" si="121"/>
        <v>2683.8</v>
      </c>
      <c r="AD164" s="28">
        <f t="shared" si="122"/>
        <v>0</v>
      </c>
      <c r="AE164" s="28">
        <f t="shared" si="123"/>
        <v>0</v>
      </c>
      <c r="AF164" s="28">
        <f t="shared" si="124"/>
        <v>0</v>
      </c>
      <c r="AG164" s="28">
        <f t="shared" si="125"/>
        <v>0</v>
      </c>
      <c r="AH164" s="28">
        <f t="shared" si="126"/>
        <v>0</v>
      </c>
      <c r="AJ164" s="12"/>
    </row>
    <row r="165" spans="1:36" ht="17.399999999999999" customHeight="1" x14ac:dyDescent="0.3">
      <c r="A165" s="6" t="s">
        <v>49</v>
      </c>
      <c r="B165" s="20">
        <v>1051153</v>
      </c>
      <c r="C165" s="33" t="s">
        <v>246</v>
      </c>
      <c r="D165" s="93" t="str">
        <f t="shared" si="109"/>
        <v/>
      </c>
      <c r="E165" s="22">
        <f>8856+414</f>
        <v>9270</v>
      </c>
      <c r="F165" s="22" t="s">
        <v>158</v>
      </c>
      <c r="G165" s="24" t="s">
        <v>274</v>
      </c>
      <c r="H165" s="23">
        <v>46371</v>
      </c>
      <c r="I165" s="46">
        <v>0.3</v>
      </c>
      <c r="J165" s="46" t="s">
        <v>206</v>
      </c>
      <c r="K165" s="6" t="s">
        <v>203</v>
      </c>
      <c r="L165" s="25"/>
      <c r="M165" s="25"/>
      <c r="N165" s="25"/>
      <c r="O165" s="25"/>
      <c r="P165" s="25"/>
      <c r="Q165" s="25"/>
      <c r="R165" s="25"/>
      <c r="S165" s="27">
        <f t="shared" si="128"/>
        <v>9270</v>
      </c>
      <c r="T165" s="28"/>
      <c r="U165" s="28"/>
      <c r="V165" s="28"/>
      <c r="W165" s="8"/>
      <c r="X165" s="28"/>
      <c r="Y165" s="28"/>
      <c r="Z165" s="28"/>
      <c r="AA165" s="28">
        <f t="shared" si="127"/>
        <v>9270</v>
      </c>
      <c r="AB165" s="28">
        <f t="shared" si="120"/>
        <v>9270</v>
      </c>
      <c r="AC165" s="28">
        <f t="shared" si="121"/>
        <v>0</v>
      </c>
      <c r="AD165" s="28">
        <f t="shared" si="122"/>
        <v>0</v>
      </c>
      <c r="AE165" s="28">
        <f t="shared" si="123"/>
        <v>9270</v>
      </c>
      <c r="AF165" s="28">
        <f t="shared" si="124"/>
        <v>0</v>
      </c>
      <c r="AG165" s="28">
        <f t="shared" si="125"/>
        <v>0</v>
      </c>
      <c r="AH165" s="28">
        <f t="shared" si="126"/>
        <v>0</v>
      </c>
      <c r="AJ165" s="12"/>
    </row>
    <row r="166" spans="1:36" ht="17.399999999999999" customHeight="1" x14ac:dyDescent="0.3">
      <c r="A166" s="6" t="s">
        <v>49</v>
      </c>
      <c r="B166" s="20">
        <v>1051153</v>
      </c>
      <c r="C166" s="33" t="s">
        <v>253</v>
      </c>
      <c r="D166" s="93" t="str">
        <f t="shared" si="109"/>
        <v/>
      </c>
      <c r="E166" s="22">
        <v>714.66</v>
      </c>
      <c r="F166" s="22" t="s">
        <v>158</v>
      </c>
      <c r="G166" s="24">
        <v>45140</v>
      </c>
      <c r="H166" s="23">
        <v>46218</v>
      </c>
      <c r="I166" s="46">
        <v>0.3</v>
      </c>
      <c r="J166" s="46" t="s">
        <v>206</v>
      </c>
      <c r="K166" s="6" t="s">
        <v>203</v>
      </c>
      <c r="L166" s="25"/>
      <c r="M166" s="25"/>
      <c r="N166" s="25"/>
      <c r="O166" s="25"/>
      <c r="P166" s="25"/>
      <c r="Q166" s="25"/>
      <c r="R166" s="25"/>
      <c r="S166" s="27">
        <f t="shared" si="128"/>
        <v>714.66</v>
      </c>
      <c r="T166" s="28"/>
      <c r="U166" s="28"/>
      <c r="V166" s="28"/>
      <c r="W166" s="8"/>
      <c r="X166" s="28"/>
      <c r="Y166" s="28"/>
      <c r="Z166" s="28"/>
      <c r="AA166" s="28">
        <f t="shared" si="127"/>
        <v>714.66</v>
      </c>
      <c r="AB166" s="28">
        <f t="shared" si="120"/>
        <v>0</v>
      </c>
      <c r="AC166" s="28">
        <f t="shared" si="121"/>
        <v>714.66</v>
      </c>
      <c r="AD166" s="28">
        <f t="shared" si="122"/>
        <v>0</v>
      </c>
      <c r="AE166" s="28">
        <f t="shared" si="123"/>
        <v>0</v>
      </c>
      <c r="AF166" s="28">
        <f t="shared" si="124"/>
        <v>0</v>
      </c>
      <c r="AG166" s="28">
        <f t="shared" si="125"/>
        <v>0</v>
      </c>
      <c r="AH166" s="28">
        <f t="shared" si="126"/>
        <v>0</v>
      </c>
      <c r="AJ166" s="12"/>
    </row>
    <row r="167" spans="1:36" ht="17.399999999999999" customHeight="1" x14ac:dyDescent="0.3">
      <c r="A167" s="6" t="s">
        <v>49</v>
      </c>
      <c r="B167" s="20">
        <v>1051153</v>
      </c>
      <c r="C167" s="33" t="s">
        <v>269</v>
      </c>
      <c r="D167" s="93" t="str">
        <f t="shared" si="109"/>
        <v/>
      </c>
      <c r="E167" s="22">
        <v>4838.3999999999996</v>
      </c>
      <c r="F167" s="22" t="s">
        <v>158</v>
      </c>
      <c r="G167" s="24">
        <v>45287</v>
      </c>
      <c r="H167" s="23">
        <v>46363</v>
      </c>
      <c r="I167" s="46">
        <v>0.3</v>
      </c>
      <c r="J167" s="46" t="s">
        <v>206</v>
      </c>
      <c r="K167" s="6" t="s">
        <v>203</v>
      </c>
      <c r="L167" s="25"/>
      <c r="M167" s="25"/>
      <c r="N167" s="25"/>
      <c r="O167" s="25"/>
      <c r="P167" s="25"/>
      <c r="Q167" s="25"/>
      <c r="R167" s="25"/>
      <c r="S167" s="27">
        <f t="shared" si="128"/>
        <v>4838.3999999999996</v>
      </c>
      <c r="T167" s="28"/>
      <c r="U167" s="28"/>
      <c r="V167" s="28"/>
      <c r="W167" s="8"/>
      <c r="X167" s="28"/>
      <c r="Y167" s="28"/>
      <c r="Z167" s="28"/>
      <c r="AA167" s="28">
        <f t="shared" si="127"/>
        <v>4838.3999999999996</v>
      </c>
      <c r="AB167" s="28">
        <f t="shared" si="120"/>
        <v>4838.3999999999996</v>
      </c>
      <c r="AC167" s="28">
        <f t="shared" si="121"/>
        <v>0</v>
      </c>
      <c r="AD167" s="28">
        <f t="shared" si="122"/>
        <v>0</v>
      </c>
      <c r="AE167" s="28">
        <f t="shared" si="123"/>
        <v>4838.3999999999996</v>
      </c>
      <c r="AF167" s="28">
        <f t="shared" si="124"/>
        <v>0</v>
      </c>
      <c r="AG167" s="28">
        <f t="shared" si="125"/>
        <v>0</v>
      </c>
      <c r="AH167" s="28">
        <f t="shared" si="126"/>
        <v>0</v>
      </c>
      <c r="AJ167" s="12"/>
    </row>
    <row r="168" spans="1:36" ht="17.399999999999999" customHeight="1" x14ac:dyDescent="0.3">
      <c r="A168" s="6" t="s">
        <v>49</v>
      </c>
      <c r="B168" s="20">
        <v>1051153</v>
      </c>
      <c r="C168" s="33" t="s">
        <v>288</v>
      </c>
      <c r="D168" s="93" t="str">
        <f t="shared" si="109"/>
        <v/>
      </c>
      <c r="E168" s="22">
        <v>1676.79</v>
      </c>
      <c r="F168" s="22" t="s">
        <v>158</v>
      </c>
      <c r="G168" s="24">
        <v>45310</v>
      </c>
      <c r="H168" s="23">
        <v>46391</v>
      </c>
      <c r="I168" s="46">
        <v>0.3</v>
      </c>
      <c r="J168" s="46" t="s">
        <v>206</v>
      </c>
      <c r="K168" s="6" t="s">
        <v>203</v>
      </c>
      <c r="L168" s="25"/>
      <c r="M168" s="25"/>
      <c r="N168" s="25"/>
      <c r="O168" s="25"/>
      <c r="P168" s="25"/>
      <c r="Q168" s="25"/>
      <c r="R168" s="25"/>
      <c r="S168" s="27">
        <f t="shared" si="128"/>
        <v>1676.79</v>
      </c>
      <c r="T168" s="28"/>
      <c r="U168" s="28"/>
      <c r="V168" s="28"/>
      <c r="W168" s="8"/>
      <c r="X168" s="28"/>
      <c r="Y168" s="28"/>
      <c r="Z168" s="28"/>
      <c r="AA168" s="28">
        <f t="shared" ref="AA168:AA173" si="129">S168-Z168-Y168-X168</f>
        <v>1676.79</v>
      </c>
      <c r="AB168" s="28">
        <f t="shared" ref="AB168:AB173" si="130">IF(H168-$AB$1&gt;365,AA168,0)</f>
        <v>1676.79</v>
      </c>
      <c r="AC168" s="28">
        <f t="shared" ref="AC168:AC173" si="131">IF(H168-$AB$1&lt;=365,AA168,0)</f>
        <v>0</v>
      </c>
      <c r="AD168" s="28">
        <f t="shared" ref="AD168:AD173" si="132">IF(H168="",AA168,0)</f>
        <v>0</v>
      </c>
      <c r="AE168" s="28">
        <f t="shared" ref="AE168:AE173" si="133">IF(AND(H168-$AB$1&gt;365,H168-$AB$1&lt;=730),AB168,0)</f>
        <v>1676.79</v>
      </c>
      <c r="AF168" s="28">
        <f t="shared" ref="AF168:AF173" si="134">IF(AND(H168-$AB$1&gt;730,H168-$AB$1&lt;=1095),AB168,0)</f>
        <v>0</v>
      </c>
      <c r="AG168" s="28">
        <f t="shared" ref="AG168:AG173" si="135">IF(AND(H168-$AB$1&gt;1095,H168-$AB$1&lt;=1825),AB168,0)</f>
        <v>0</v>
      </c>
      <c r="AH168" s="28">
        <f t="shared" ref="AH168:AH173" si="136">IF(H168-$AB$1&gt;1825,AB168,0)</f>
        <v>0</v>
      </c>
      <c r="AJ168" s="12"/>
    </row>
    <row r="169" spans="1:36" ht="17.399999999999999" customHeight="1" x14ac:dyDescent="0.3">
      <c r="A169" s="85" t="s">
        <v>49</v>
      </c>
      <c r="B169" s="183">
        <v>1051153</v>
      </c>
      <c r="C169" s="187" t="s">
        <v>289</v>
      </c>
      <c r="D169" s="158" t="str">
        <f t="shared" si="109"/>
        <v>zwrócone</v>
      </c>
      <c r="E169" s="159">
        <v>5656</v>
      </c>
      <c r="F169" s="159" t="s">
        <v>158</v>
      </c>
      <c r="G169" s="160">
        <v>45313</v>
      </c>
      <c r="H169" s="84">
        <v>45838</v>
      </c>
      <c r="I169" s="46">
        <v>0.7</v>
      </c>
      <c r="J169" s="46" t="s">
        <v>206</v>
      </c>
      <c r="K169" s="6" t="s">
        <v>203</v>
      </c>
      <c r="L169" s="25"/>
      <c r="M169" s="25"/>
      <c r="N169" s="25"/>
      <c r="O169" s="25"/>
      <c r="P169" s="25"/>
      <c r="Q169" s="25"/>
      <c r="R169" s="25"/>
      <c r="S169" s="27">
        <f t="shared" si="128"/>
        <v>5656</v>
      </c>
      <c r="T169" s="28"/>
      <c r="U169" s="28"/>
      <c r="V169" s="28"/>
      <c r="W169" s="37">
        <v>45847</v>
      </c>
      <c r="X169" s="28"/>
      <c r="Y169" s="28"/>
      <c r="Z169" s="28">
        <v>5656</v>
      </c>
      <c r="AA169" s="28">
        <f t="shared" si="129"/>
        <v>0</v>
      </c>
      <c r="AB169" s="28">
        <f t="shared" si="130"/>
        <v>0</v>
      </c>
      <c r="AC169" s="28">
        <f t="shared" si="131"/>
        <v>0</v>
      </c>
      <c r="AD169" s="28">
        <f t="shared" si="132"/>
        <v>0</v>
      </c>
      <c r="AE169" s="28">
        <f t="shared" si="133"/>
        <v>0</v>
      </c>
      <c r="AF169" s="28">
        <f t="shared" si="134"/>
        <v>0</v>
      </c>
      <c r="AG169" s="28">
        <f t="shared" si="135"/>
        <v>0</v>
      </c>
      <c r="AH169" s="28">
        <f t="shared" si="136"/>
        <v>0</v>
      </c>
      <c r="AJ169" s="12"/>
    </row>
    <row r="170" spans="1:36" ht="17.399999999999999" customHeight="1" x14ac:dyDescent="0.3">
      <c r="A170" s="6" t="s">
        <v>49</v>
      </c>
      <c r="B170" s="20">
        <v>1051153</v>
      </c>
      <c r="C170" s="33" t="s">
        <v>293</v>
      </c>
      <c r="D170" s="93" t="str">
        <f t="shared" si="109"/>
        <v/>
      </c>
      <c r="E170" s="22">
        <v>29659.200000000001</v>
      </c>
      <c r="F170" s="22" t="s">
        <v>158</v>
      </c>
      <c r="G170" s="24">
        <v>45355</v>
      </c>
      <c r="H170" s="23">
        <v>46052</v>
      </c>
      <c r="I170" s="46">
        <v>1</v>
      </c>
      <c r="J170" s="46" t="s">
        <v>206</v>
      </c>
      <c r="K170" s="6" t="s">
        <v>203</v>
      </c>
      <c r="L170" s="25"/>
      <c r="M170" s="25"/>
      <c r="N170" s="25"/>
      <c r="O170" s="25"/>
      <c r="P170" s="25"/>
      <c r="Q170" s="25"/>
      <c r="R170" s="25"/>
      <c r="S170" s="27">
        <f t="shared" si="128"/>
        <v>29659.200000000001</v>
      </c>
      <c r="T170" s="28"/>
      <c r="U170" s="28"/>
      <c r="V170" s="28"/>
      <c r="W170" s="8"/>
      <c r="X170" s="28"/>
      <c r="Y170" s="28"/>
      <c r="Z170" s="28"/>
      <c r="AA170" s="28">
        <f t="shared" si="129"/>
        <v>29659.200000000001</v>
      </c>
      <c r="AB170" s="28">
        <f t="shared" si="130"/>
        <v>0</v>
      </c>
      <c r="AC170" s="28">
        <f t="shared" si="131"/>
        <v>29659.200000000001</v>
      </c>
      <c r="AD170" s="28">
        <f t="shared" si="132"/>
        <v>0</v>
      </c>
      <c r="AE170" s="28">
        <f t="shared" si="133"/>
        <v>0</v>
      </c>
      <c r="AF170" s="28">
        <f t="shared" si="134"/>
        <v>0</v>
      </c>
      <c r="AG170" s="28">
        <f t="shared" si="135"/>
        <v>0</v>
      </c>
      <c r="AH170" s="28">
        <f t="shared" si="136"/>
        <v>0</v>
      </c>
      <c r="AJ170" s="12"/>
    </row>
    <row r="171" spans="1:36" ht="17.399999999999999" customHeight="1" x14ac:dyDescent="0.3">
      <c r="A171" s="85" t="s">
        <v>49</v>
      </c>
      <c r="B171" s="183">
        <v>1051153</v>
      </c>
      <c r="C171" s="187" t="s">
        <v>299</v>
      </c>
      <c r="D171" s="158" t="str">
        <f t="shared" si="109"/>
        <v>zwrócone</v>
      </c>
      <c r="E171" s="159">
        <v>10229.76</v>
      </c>
      <c r="F171" s="159" t="s">
        <v>158</v>
      </c>
      <c r="G171" s="160">
        <v>45385</v>
      </c>
      <c r="H171" s="84">
        <v>45687</v>
      </c>
      <c r="I171" s="46">
        <v>1</v>
      </c>
      <c r="J171" s="46" t="s">
        <v>206</v>
      </c>
      <c r="K171" s="6" t="s">
        <v>203</v>
      </c>
      <c r="L171" s="25"/>
      <c r="M171" s="25"/>
      <c r="N171" s="25"/>
      <c r="O171" s="25"/>
      <c r="P171" s="25"/>
      <c r="Q171" s="25"/>
      <c r="R171" s="25"/>
      <c r="S171" s="27">
        <f t="shared" si="128"/>
        <v>10229.76</v>
      </c>
      <c r="T171" s="28"/>
      <c r="U171" s="28"/>
      <c r="V171" s="28"/>
      <c r="W171" s="37">
        <v>45730</v>
      </c>
      <c r="X171" s="28"/>
      <c r="Y171" s="28"/>
      <c r="Z171" s="28">
        <v>10229.76</v>
      </c>
      <c r="AA171" s="28">
        <f t="shared" si="129"/>
        <v>0</v>
      </c>
      <c r="AB171" s="28">
        <f t="shared" si="130"/>
        <v>0</v>
      </c>
      <c r="AC171" s="28">
        <f t="shared" si="131"/>
        <v>0</v>
      </c>
      <c r="AD171" s="28">
        <f t="shared" si="132"/>
        <v>0</v>
      </c>
      <c r="AE171" s="28">
        <f t="shared" si="133"/>
        <v>0</v>
      </c>
      <c r="AF171" s="28">
        <f t="shared" si="134"/>
        <v>0</v>
      </c>
      <c r="AG171" s="28">
        <f t="shared" si="135"/>
        <v>0</v>
      </c>
      <c r="AH171" s="28">
        <f t="shared" si="136"/>
        <v>0</v>
      </c>
      <c r="AJ171" s="12"/>
    </row>
    <row r="172" spans="1:36" ht="17.399999999999999" customHeight="1" x14ac:dyDescent="0.3">
      <c r="A172" s="6" t="s">
        <v>49</v>
      </c>
      <c r="B172" s="20">
        <v>1051153</v>
      </c>
      <c r="C172" s="33" t="s">
        <v>289</v>
      </c>
      <c r="D172" s="93" t="str">
        <f t="shared" si="109"/>
        <v/>
      </c>
      <c r="E172" s="22">
        <v>2424</v>
      </c>
      <c r="F172" s="22" t="s">
        <v>158</v>
      </c>
      <c r="G172" s="24">
        <v>45313</v>
      </c>
      <c r="H172" s="23">
        <v>46402</v>
      </c>
      <c r="I172" s="46">
        <v>0.3</v>
      </c>
      <c r="J172" s="46" t="s">
        <v>206</v>
      </c>
      <c r="K172" s="6" t="s">
        <v>203</v>
      </c>
      <c r="L172" s="25"/>
      <c r="M172" s="25"/>
      <c r="N172" s="25"/>
      <c r="O172" s="25"/>
      <c r="P172" s="25"/>
      <c r="Q172" s="25"/>
      <c r="R172" s="25"/>
      <c r="S172" s="27">
        <f t="shared" si="128"/>
        <v>2424</v>
      </c>
      <c r="T172" s="28"/>
      <c r="U172" s="28"/>
      <c r="V172" s="28"/>
      <c r="W172" s="8"/>
      <c r="X172" s="28"/>
      <c r="Y172" s="28"/>
      <c r="Z172" s="28"/>
      <c r="AA172" s="28">
        <f t="shared" si="129"/>
        <v>2424</v>
      </c>
      <c r="AB172" s="28">
        <f t="shared" si="130"/>
        <v>2424</v>
      </c>
      <c r="AC172" s="28">
        <f t="shared" si="131"/>
        <v>0</v>
      </c>
      <c r="AD172" s="28">
        <f t="shared" si="132"/>
        <v>0</v>
      </c>
      <c r="AE172" s="28">
        <f t="shared" si="133"/>
        <v>2424</v>
      </c>
      <c r="AF172" s="28">
        <f t="shared" si="134"/>
        <v>0</v>
      </c>
      <c r="AG172" s="28">
        <f t="shared" si="135"/>
        <v>0</v>
      </c>
      <c r="AH172" s="28">
        <f t="shared" si="136"/>
        <v>0</v>
      </c>
      <c r="AJ172" s="12"/>
    </row>
    <row r="173" spans="1:36" ht="17.399999999999999" customHeight="1" x14ac:dyDescent="0.3">
      <c r="A173" s="6" t="s">
        <v>49</v>
      </c>
      <c r="B173" s="20">
        <v>1051153</v>
      </c>
      <c r="C173" s="33" t="s">
        <v>384</v>
      </c>
      <c r="D173" s="93"/>
      <c r="E173" s="22">
        <v>10598.4</v>
      </c>
      <c r="F173" s="22" t="s">
        <v>158</v>
      </c>
      <c r="G173" s="24">
        <v>45820</v>
      </c>
      <c r="H173" s="23">
        <v>46142</v>
      </c>
      <c r="I173" s="46">
        <v>1</v>
      </c>
      <c r="J173" s="46" t="s">
        <v>206</v>
      </c>
      <c r="K173" s="6" t="s">
        <v>203</v>
      </c>
      <c r="L173" s="25"/>
      <c r="M173" s="25"/>
      <c r="N173" s="25"/>
      <c r="O173" s="25"/>
      <c r="P173" s="25"/>
      <c r="Q173" s="25"/>
      <c r="R173" s="25"/>
      <c r="S173" s="27">
        <f t="shared" si="128"/>
        <v>10598.4</v>
      </c>
      <c r="T173" s="28"/>
      <c r="U173" s="28"/>
      <c r="V173" s="28"/>
      <c r="W173" s="8"/>
      <c r="X173" s="28"/>
      <c r="Y173" s="28"/>
      <c r="Z173" s="28"/>
      <c r="AA173" s="28">
        <f t="shared" si="129"/>
        <v>10598.4</v>
      </c>
      <c r="AB173" s="28">
        <f t="shared" si="130"/>
        <v>0</v>
      </c>
      <c r="AC173" s="28">
        <f t="shared" si="131"/>
        <v>10598.4</v>
      </c>
      <c r="AD173" s="28">
        <f t="shared" si="132"/>
        <v>0</v>
      </c>
      <c r="AE173" s="28">
        <f t="shared" si="133"/>
        <v>0</v>
      </c>
      <c r="AF173" s="28">
        <f t="shared" si="134"/>
        <v>0</v>
      </c>
      <c r="AG173" s="28">
        <f t="shared" si="135"/>
        <v>0</v>
      </c>
      <c r="AH173" s="28">
        <f t="shared" si="136"/>
        <v>0</v>
      </c>
      <c r="AJ173" s="12"/>
    </row>
    <row r="174" spans="1:36" ht="17.399999999999999" customHeight="1" x14ac:dyDescent="0.3">
      <c r="A174" s="115"/>
      <c r="B174" s="116"/>
      <c r="C174" s="117"/>
      <c r="D174" s="118" t="str">
        <f t="shared" si="109"/>
        <v/>
      </c>
      <c r="E174" s="31">
        <f>SUBTOTAL(9,E156:E173)</f>
        <v>136732.10999999999</v>
      </c>
      <c r="F174" s="31"/>
      <c r="G174" s="119"/>
      <c r="H174" s="120"/>
      <c r="I174" s="134"/>
      <c r="J174" s="134"/>
      <c r="K174" s="134"/>
      <c r="L174" s="31">
        <f t="shared" ref="L174:Q174" si="137">SUBTOTAL(9,L156:L173)</f>
        <v>0</v>
      </c>
      <c r="M174" s="31">
        <f t="shared" si="137"/>
        <v>0</v>
      </c>
      <c r="N174" s="31">
        <f t="shared" si="137"/>
        <v>0</v>
      </c>
      <c r="O174" s="31">
        <f t="shared" si="137"/>
        <v>12.9</v>
      </c>
      <c r="P174" s="31">
        <f t="shared" si="137"/>
        <v>241.33</v>
      </c>
      <c r="Q174" s="31">
        <f t="shared" si="137"/>
        <v>213.22</v>
      </c>
      <c r="R174" s="31"/>
      <c r="S174" s="31">
        <f>E174+L174+M174+N174+P174+O174+Q174+R174</f>
        <v>137199.55999999997</v>
      </c>
      <c r="T174" s="31">
        <f>SUBTOTAL(9,T156:T172)</f>
        <v>0</v>
      </c>
      <c r="U174" s="31">
        <f>SUBTOTAL(9,U156:U172)</f>
        <v>0</v>
      </c>
      <c r="V174" s="31">
        <f>SUBTOTAL(9,V156:V172)</f>
        <v>0</v>
      </c>
      <c r="W174" s="31"/>
      <c r="X174" s="31">
        <f>SUBTOTAL(9,X156:X172)</f>
        <v>0</v>
      </c>
      <c r="Y174" s="31">
        <f>SUBTOTAL(9,Y156:Y172)</f>
        <v>0</v>
      </c>
      <c r="Z174" s="31">
        <f>SUBTOTAL(9,Z156:Z172)</f>
        <v>56715.76</v>
      </c>
      <c r="AA174" s="31">
        <f t="shared" ref="AA174:AH174" si="138">SUBTOTAL(9,AA156:AA173)</f>
        <v>80483.799999999988</v>
      </c>
      <c r="AB174" s="31">
        <f t="shared" si="138"/>
        <v>25469.190000000002</v>
      </c>
      <c r="AC174" s="31">
        <f t="shared" si="138"/>
        <v>55014.610000000008</v>
      </c>
      <c r="AD174" s="31">
        <f t="shared" si="138"/>
        <v>0</v>
      </c>
      <c r="AE174" s="31">
        <f t="shared" si="138"/>
        <v>25469.190000000002</v>
      </c>
      <c r="AF174" s="31">
        <f t="shared" si="138"/>
        <v>0</v>
      </c>
      <c r="AG174" s="31">
        <f t="shared" si="138"/>
        <v>0</v>
      </c>
      <c r="AH174" s="31">
        <f t="shared" si="138"/>
        <v>0</v>
      </c>
      <c r="AJ174" s="12"/>
    </row>
    <row r="175" spans="1:36" ht="17.399999999999999" customHeight="1" x14ac:dyDescent="0.3">
      <c r="A175" s="161" t="s">
        <v>286</v>
      </c>
      <c r="B175" s="162">
        <v>1051204</v>
      </c>
      <c r="C175" s="157" t="s">
        <v>343</v>
      </c>
      <c r="D175" s="158" t="str">
        <f>IF(W175&gt;0,"zwrócone","")</f>
        <v>zwrócone</v>
      </c>
      <c r="E175" s="159">
        <v>2827.3</v>
      </c>
      <c r="F175" s="159" t="s">
        <v>158</v>
      </c>
      <c r="G175" s="160">
        <v>45653</v>
      </c>
      <c r="H175" s="84">
        <v>45900</v>
      </c>
      <c r="I175" s="46">
        <v>0.7</v>
      </c>
      <c r="J175" s="46" t="s">
        <v>206</v>
      </c>
      <c r="K175" s="6" t="s">
        <v>203</v>
      </c>
      <c r="L175" s="25"/>
      <c r="M175" s="25"/>
      <c r="N175" s="25"/>
      <c r="O175" s="25"/>
      <c r="P175" s="25"/>
      <c r="Q175" s="25"/>
      <c r="R175" s="25"/>
      <c r="S175" s="27">
        <f t="shared" si="128"/>
        <v>2827.3</v>
      </c>
      <c r="T175" s="28"/>
      <c r="U175" s="28"/>
      <c r="V175" s="28"/>
      <c r="W175" s="37">
        <v>45904</v>
      </c>
      <c r="X175" s="28"/>
      <c r="Y175" s="28"/>
      <c r="Z175" s="28">
        <v>2827.3</v>
      </c>
      <c r="AA175" s="28">
        <f>S175-Z175-Y175-X175</f>
        <v>0</v>
      </c>
      <c r="AB175" s="28">
        <f>IF(H175-$AB$1&gt;365,AA175,0)</f>
        <v>0</v>
      </c>
      <c r="AC175" s="28">
        <f>IF(H175-$AB$1&lt;=365,AA175,0)</f>
        <v>0</v>
      </c>
      <c r="AD175" s="28">
        <f>IF(H175="",AA175,0)</f>
        <v>0</v>
      </c>
      <c r="AE175" s="28">
        <f>IF(AND(H175-$AB$1&gt;365,H175-$AB$1&lt;=730),AB175,0)</f>
        <v>0</v>
      </c>
      <c r="AF175" s="28">
        <f>IF(AND(H175-$AB$1&gt;730,H175-$AB$1&lt;=1095),AB175,0)</f>
        <v>0</v>
      </c>
      <c r="AG175" s="28">
        <f>IF(AND(H175-$AB$1&gt;1095,H175-$AB$1&lt;=1825),AB175,0)</f>
        <v>0</v>
      </c>
      <c r="AH175" s="28">
        <f>IF(H175-$AB$1&gt;1825,AB175,0)</f>
        <v>0</v>
      </c>
      <c r="AJ175" s="12"/>
    </row>
    <row r="176" spans="1:36" ht="17.399999999999999" customHeight="1" x14ac:dyDescent="0.3">
      <c r="A176" s="90" t="s">
        <v>286</v>
      </c>
      <c r="B176" s="32">
        <v>1051204</v>
      </c>
      <c r="C176" s="83" t="s">
        <v>343</v>
      </c>
      <c r="D176" s="93" t="str">
        <f>IF(W176&gt;0,"zwrócone","")</f>
        <v/>
      </c>
      <c r="E176" s="22">
        <v>1211.7</v>
      </c>
      <c r="F176" s="22" t="s">
        <v>158</v>
      </c>
      <c r="G176" s="24">
        <v>45653</v>
      </c>
      <c r="H176" s="23">
        <v>46598</v>
      </c>
      <c r="I176" s="46">
        <v>0.3</v>
      </c>
      <c r="J176" s="46" t="s">
        <v>206</v>
      </c>
      <c r="K176" s="6" t="s">
        <v>203</v>
      </c>
      <c r="L176" s="25"/>
      <c r="M176" s="25"/>
      <c r="N176" s="25"/>
      <c r="O176" s="25"/>
      <c r="P176" s="25"/>
      <c r="Q176" s="25"/>
      <c r="R176" s="25"/>
      <c r="S176" s="27">
        <f t="shared" si="128"/>
        <v>1211.7</v>
      </c>
      <c r="T176" s="28"/>
      <c r="U176" s="28"/>
      <c r="V176" s="28"/>
      <c r="W176" s="8"/>
      <c r="X176" s="28"/>
      <c r="Y176" s="28"/>
      <c r="Z176" s="28"/>
      <c r="AA176" s="28">
        <f>S176-Z176-Y176-X176</f>
        <v>1211.7</v>
      </c>
      <c r="AB176" s="28">
        <f>IF(H176-$AB$1&gt;365,AA176,0)</f>
        <v>1211.7</v>
      </c>
      <c r="AC176" s="28">
        <f>IF(H176-$AB$1&lt;=365,AA176,0)</f>
        <v>0</v>
      </c>
      <c r="AD176" s="28">
        <f>IF(H176="",AA176,0)</f>
        <v>0</v>
      </c>
      <c r="AE176" s="28">
        <f>IF(AND(H176-$AB$1&gt;365,H176-$AB$1&lt;=730),AB176,0)</f>
        <v>1211.7</v>
      </c>
      <c r="AF176" s="28">
        <f>IF(AND(H176-$AB$1&gt;730,H176-$AB$1&lt;=1095),AB176,0)</f>
        <v>0</v>
      </c>
      <c r="AG176" s="28">
        <f>IF(AND(H176-$AB$1&gt;1095,H176-$AB$1&lt;=1825),AB176,0)</f>
        <v>0</v>
      </c>
      <c r="AH176" s="28">
        <f>IF(H176-$AB$1&gt;1825,AB176,0)</f>
        <v>0</v>
      </c>
      <c r="AJ176" s="12"/>
    </row>
    <row r="177" spans="1:36" ht="17.399999999999999" customHeight="1" x14ac:dyDescent="0.3">
      <c r="A177" s="90" t="s">
        <v>286</v>
      </c>
      <c r="B177" s="32">
        <v>1051204</v>
      </c>
      <c r="C177" s="83" t="s">
        <v>287</v>
      </c>
      <c r="D177" s="93" t="str">
        <f>IF(W177&gt;0,"zwrócone","")</f>
        <v/>
      </c>
      <c r="E177" s="22">
        <v>2133.9</v>
      </c>
      <c r="F177" s="22" t="s">
        <v>158</v>
      </c>
      <c r="G177" s="24">
        <v>45310</v>
      </c>
      <c r="H177" s="23">
        <v>46075</v>
      </c>
      <c r="I177" s="46">
        <v>0.3</v>
      </c>
      <c r="J177" s="164"/>
      <c r="K177" s="6" t="s">
        <v>203</v>
      </c>
      <c r="L177" s="25"/>
      <c r="M177" s="25"/>
      <c r="N177" s="25"/>
      <c r="O177" s="25"/>
      <c r="P177" s="25"/>
      <c r="Q177" s="25"/>
      <c r="R177" s="25"/>
      <c r="S177" s="27">
        <f t="shared" si="128"/>
        <v>2133.9</v>
      </c>
      <c r="T177" s="28"/>
      <c r="U177" s="28"/>
      <c r="V177" s="28"/>
      <c r="W177" s="8"/>
      <c r="X177" s="28"/>
      <c r="Y177" s="28"/>
      <c r="Z177" s="28"/>
      <c r="AA177" s="28">
        <f>S177-Z177-Y177-X177</f>
        <v>2133.9</v>
      </c>
      <c r="AB177" s="28">
        <f>IF(H177-$AB$1&gt;365,AA177,0)</f>
        <v>0</v>
      </c>
      <c r="AC177" s="28">
        <f>IF(H177-$AB$1&lt;=365,AA177,0)</f>
        <v>2133.9</v>
      </c>
      <c r="AD177" s="28">
        <f>IF(H177="",AA177,0)</f>
        <v>0</v>
      </c>
      <c r="AE177" s="28">
        <f>IF(AND(H177-$AB$1&gt;365,H177-$AB$1&lt;=730),AB177,0)</f>
        <v>0</v>
      </c>
      <c r="AF177" s="28">
        <f>IF(AND(H177-$AB$1&gt;730,H177-$AB$1&lt;=1095),AB177,0)</f>
        <v>0</v>
      </c>
      <c r="AG177" s="28">
        <f>IF(AND(H177-$AB$1&gt;1095,H177-$AB$1&lt;=1825),AB177,0)</f>
        <v>0</v>
      </c>
      <c r="AH177" s="28">
        <f>IF(H177-$AB$1&gt;1825,AB177,0)</f>
        <v>0</v>
      </c>
      <c r="AJ177" s="12"/>
    </row>
    <row r="178" spans="1:36" ht="17.399999999999999" customHeight="1" x14ac:dyDescent="0.3">
      <c r="A178" s="130"/>
      <c r="B178" s="131"/>
      <c r="C178" s="117"/>
      <c r="D178" s="118" t="str">
        <f>IF(W178&gt;0,"zwrócone","")</f>
        <v/>
      </c>
      <c r="E178" s="31">
        <f>SUBTOTAL(9,E175:E177)</f>
        <v>6172.9</v>
      </c>
      <c r="F178" s="31"/>
      <c r="G178" s="119"/>
      <c r="H178" s="138"/>
      <c r="I178" s="115"/>
      <c r="J178" s="115"/>
      <c r="K178" s="115"/>
      <c r="L178" s="31">
        <f t="shared" ref="L178:V178" si="139">SUBTOTAL(9,L175:L177)</f>
        <v>0</v>
      </c>
      <c r="M178" s="31">
        <f t="shared" si="139"/>
        <v>0</v>
      </c>
      <c r="N178" s="31">
        <f t="shared" si="139"/>
        <v>0</v>
      </c>
      <c r="O178" s="31">
        <f t="shared" si="139"/>
        <v>0</v>
      </c>
      <c r="P178" s="31">
        <f t="shared" si="139"/>
        <v>0</v>
      </c>
      <c r="Q178" s="31">
        <f t="shared" si="139"/>
        <v>0</v>
      </c>
      <c r="R178" s="31"/>
      <c r="S178" s="31">
        <f t="shared" si="128"/>
        <v>6172.9</v>
      </c>
      <c r="T178" s="31">
        <f t="shared" si="139"/>
        <v>0</v>
      </c>
      <c r="U178" s="31">
        <f t="shared" si="139"/>
        <v>0</v>
      </c>
      <c r="V178" s="31">
        <f t="shared" si="139"/>
        <v>0</v>
      </c>
      <c r="W178" s="31"/>
      <c r="X178" s="31">
        <f t="shared" ref="X178:AH178" si="140">SUBTOTAL(9,X175:X177)</f>
        <v>0</v>
      </c>
      <c r="Y178" s="31">
        <f t="shared" si="140"/>
        <v>0</v>
      </c>
      <c r="Z178" s="31">
        <f t="shared" si="140"/>
        <v>2827.3</v>
      </c>
      <c r="AA178" s="31">
        <f t="shared" si="140"/>
        <v>3345.6000000000004</v>
      </c>
      <c r="AB178" s="31">
        <f t="shared" si="140"/>
        <v>1211.7</v>
      </c>
      <c r="AC178" s="31">
        <f t="shared" si="140"/>
        <v>2133.9</v>
      </c>
      <c r="AD178" s="31">
        <f t="shared" si="140"/>
        <v>0</v>
      </c>
      <c r="AE178" s="31">
        <f t="shared" si="140"/>
        <v>1211.7</v>
      </c>
      <c r="AF178" s="31">
        <f t="shared" si="140"/>
        <v>0</v>
      </c>
      <c r="AG178" s="31">
        <f t="shared" si="140"/>
        <v>0</v>
      </c>
      <c r="AH178" s="31">
        <f t="shared" si="140"/>
        <v>0</v>
      </c>
      <c r="AJ178" s="12"/>
    </row>
    <row r="179" spans="1:36" ht="17.399999999999999" customHeight="1" x14ac:dyDescent="0.3">
      <c r="A179" s="90" t="s">
        <v>170</v>
      </c>
      <c r="B179" s="32">
        <v>1064422</v>
      </c>
      <c r="C179" s="83" t="s">
        <v>171</v>
      </c>
      <c r="D179" s="93" t="str">
        <f t="shared" si="109"/>
        <v/>
      </c>
      <c r="E179" s="22">
        <v>8340.77</v>
      </c>
      <c r="F179" s="22"/>
      <c r="G179" s="24">
        <v>44960</v>
      </c>
      <c r="H179" s="23">
        <v>46415</v>
      </c>
      <c r="I179" s="46">
        <v>0.3</v>
      </c>
      <c r="J179" s="46" t="s">
        <v>206</v>
      </c>
      <c r="K179" s="6" t="s">
        <v>203</v>
      </c>
      <c r="L179" s="25"/>
      <c r="M179" s="25"/>
      <c r="N179" s="25"/>
      <c r="O179" s="25"/>
      <c r="P179" s="25"/>
      <c r="Q179" s="25"/>
      <c r="R179" s="25"/>
      <c r="S179" s="27">
        <f t="shared" si="128"/>
        <v>8340.77</v>
      </c>
      <c r="T179" s="28">
        <f>IF(H179-$T$1&gt;365,S179,0)</f>
        <v>8340.77</v>
      </c>
      <c r="U179" s="28">
        <f>IF(H179-$T$1&lt;365,S179,0)</f>
        <v>0</v>
      </c>
      <c r="V179" s="28">
        <f>IF(H179="",S179,0)</f>
        <v>0</v>
      </c>
      <c r="W179" s="8"/>
      <c r="X179" s="28"/>
      <c r="Y179" s="28"/>
      <c r="Z179" s="28"/>
      <c r="AA179" s="28">
        <f>S179-Z179-Y179-X179</f>
        <v>8340.77</v>
      </c>
      <c r="AB179" s="28">
        <f>IF(H179-$AB$1&gt;365,AA179,0)</f>
        <v>8340.77</v>
      </c>
      <c r="AC179" s="28">
        <f>IF(H179-$AB$1&lt;=365,AA179,0)</f>
        <v>0</v>
      </c>
      <c r="AD179" s="28">
        <f>IF(H179="",AA179,0)</f>
        <v>0</v>
      </c>
      <c r="AE179" s="28">
        <f>IF(AND(H179-$AB$1&gt;365,H179-$AB$1&lt;=730),AB179,0)</f>
        <v>8340.77</v>
      </c>
      <c r="AF179" s="28">
        <f>IF(AND(H179-$AB$1&gt;730,H179-$AB$1&lt;=1095),AB179,0)</f>
        <v>0</v>
      </c>
      <c r="AG179" s="28">
        <f>IF(AND(H179-$AB$1&gt;1095,H179-$AB$1&lt;=1825),AB179,0)</f>
        <v>0</v>
      </c>
      <c r="AH179" s="28">
        <f>IF(H179-$AB$1&gt;1825,AB179,0)</f>
        <v>0</v>
      </c>
      <c r="AJ179" s="12"/>
    </row>
    <row r="180" spans="1:36" ht="17.399999999999999" customHeight="1" x14ac:dyDescent="0.3">
      <c r="A180" s="130"/>
      <c r="B180" s="131"/>
      <c r="C180" s="117"/>
      <c r="D180" s="118" t="str">
        <f t="shared" si="109"/>
        <v/>
      </c>
      <c r="E180" s="31">
        <f>SUBTOTAL(9,E179:E179)</f>
        <v>8340.77</v>
      </c>
      <c r="F180" s="31"/>
      <c r="G180" s="119"/>
      <c r="H180" s="138"/>
      <c r="I180" s="115"/>
      <c r="J180" s="115"/>
      <c r="K180" s="115"/>
      <c r="L180" s="31">
        <f t="shared" ref="L180:Q180" si="141">SUBTOTAL(9,L179:L179)</f>
        <v>0</v>
      </c>
      <c r="M180" s="31">
        <f t="shared" si="141"/>
        <v>0</v>
      </c>
      <c r="N180" s="31">
        <f t="shared" si="141"/>
        <v>0</v>
      </c>
      <c r="O180" s="31">
        <f t="shared" si="141"/>
        <v>0</v>
      </c>
      <c r="P180" s="31">
        <f t="shared" si="141"/>
        <v>0</v>
      </c>
      <c r="Q180" s="31">
        <f t="shared" si="141"/>
        <v>0</v>
      </c>
      <c r="R180" s="31"/>
      <c r="S180" s="31">
        <f t="shared" si="128"/>
        <v>8340.77</v>
      </c>
      <c r="T180" s="31">
        <f>SUBTOTAL(9,T179:T179)</f>
        <v>8340.77</v>
      </c>
      <c r="U180" s="31">
        <f>SUBTOTAL(9,U179:U179)</f>
        <v>0</v>
      </c>
      <c r="V180" s="31">
        <f>SUBTOTAL(9,V179:V179)</f>
        <v>0</v>
      </c>
      <c r="W180" s="31"/>
      <c r="X180" s="31">
        <f t="shared" ref="X180:AH180" si="142">SUBTOTAL(9,X179:X179)</f>
        <v>0</v>
      </c>
      <c r="Y180" s="31">
        <f t="shared" si="142"/>
        <v>0</v>
      </c>
      <c r="Z180" s="31">
        <f t="shared" si="142"/>
        <v>0</v>
      </c>
      <c r="AA180" s="31">
        <f t="shared" si="142"/>
        <v>8340.77</v>
      </c>
      <c r="AB180" s="31">
        <f t="shared" si="142"/>
        <v>8340.77</v>
      </c>
      <c r="AC180" s="31">
        <f t="shared" si="142"/>
        <v>0</v>
      </c>
      <c r="AD180" s="31">
        <f t="shared" si="142"/>
        <v>0</v>
      </c>
      <c r="AE180" s="31">
        <f t="shared" si="142"/>
        <v>8340.77</v>
      </c>
      <c r="AF180" s="31">
        <f t="shared" si="142"/>
        <v>0</v>
      </c>
      <c r="AG180" s="31">
        <f t="shared" si="142"/>
        <v>0</v>
      </c>
      <c r="AH180" s="31">
        <f t="shared" si="142"/>
        <v>0</v>
      </c>
      <c r="AJ180" s="12"/>
    </row>
    <row r="181" spans="1:36" ht="17.399999999999999" customHeight="1" x14ac:dyDescent="0.3">
      <c r="A181" s="6" t="s">
        <v>270</v>
      </c>
      <c r="B181" s="20">
        <v>1065651</v>
      </c>
      <c r="C181" s="83" t="s">
        <v>271</v>
      </c>
      <c r="D181" s="93" t="str">
        <f t="shared" si="109"/>
        <v/>
      </c>
      <c r="E181" s="22">
        <v>5064.6000000000004</v>
      </c>
      <c r="F181" s="22" t="s">
        <v>158</v>
      </c>
      <c r="G181" s="24">
        <v>45268</v>
      </c>
      <c r="H181" s="23">
        <v>46173</v>
      </c>
      <c r="I181" s="46">
        <v>0.3</v>
      </c>
      <c r="J181" s="46" t="s">
        <v>206</v>
      </c>
      <c r="K181" s="6" t="s">
        <v>204</v>
      </c>
      <c r="L181" s="30"/>
      <c r="M181" s="30"/>
      <c r="N181" s="30"/>
      <c r="O181" s="53"/>
      <c r="P181" s="25"/>
      <c r="Q181" s="25"/>
      <c r="R181" s="25"/>
      <c r="S181" s="27">
        <f t="shared" si="128"/>
        <v>5064.6000000000004</v>
      </c>
      <c r="T181" s="31"/>
      <c r="U181" s="31"/>
      <c r="V181" s="31"/>
      <c r="W181" s="37"/>
      <c r="X181" s="22"/>
      <c r="Y181" s="22"/>
      <c r="Z181" s="22"/>
      <c r="AA181" s="28">
        <f>S181-Z181-Y181-X181</f>
        <v>5064.6000000000004</v>
      </c>
      <c r="AB181" s="28">
        <f>IF(H181-$AB$1&gt;365,AA181,0)</f>
        <v>0</v>
      </c>
      <c r="AC181" s="28">
        <f>IF(H181-$AB$1&lt;=365,AA181,0)</f>
        <v>5064.6000000000004</v>
      </c>
      <c r="AD181" s="28">
        <f>IF(H181="",AA181,0)</f>
        <v>0</v>
      </c>
      <c r="AE181" s="28">
        <f>IF(AND(H181-$AB$1&gt;365,H181-$AB$1&lt;=730),AB181,0)</f>
        <v>0</v>
      </c>
      <c r="AF181" s="28">
        <f>IF(AND(H181-$AB$1&gt;730,H181-$AB$1&lt;=1095),AB181,0)</f>
        <v>0</v>
      </c>
      <c r="AG181" s="28">
        <f>IF(AND(H181-$AB$1&gt;1095,H181-$AB$1&lt;=1825),AB181,0)</f>
        <v>0</v>
      </c>
      <c r="AH181" s="28">
        <f>IF(H181-$AB$1&gt;1825,AB181,0)</f>
        <v>0</v>
      </c>
      <c r="AJ181" s="12"/>
    </row>
    <row r="182" spans="1:36" ht="17.399999999999999" customHeight="1" x14ac:dyDescent="0.3">
      <c r="A182" s="115"/>
      <c r="B182" s="116"/>
      <c r="C182" s="117"/>
      <c r="D182" s="118" t="str">
        <f t="shared" ref="D182:D187" si="143">IF(W182&gt;0,"zwrócone","")</f>
        <v/>
      </c>
      <c r="E182" s="31">
        <f>SUBTOTAL(9,E181:E181)</f>
        <v>5064.6000000000004</v>
      </c>
      <c r="F182" s="31"/>
      <c r="G182" s="119"/>
      <c r="H182" s="120"/>
      <c r="I182" s="115"/>
      <c r="J182" s="115"/>
      <c r="K182" s="115"/>
      <c r="L182" s="31">
        <f t="shared" ref="L182:V182" si="144">SUBTOTAL(9,L181:L181)</f>
        <v>0</v>
      </c>
      <c r="M182" s="31">
        <f t="shared" si="144"/>
        <v>0</v>
      </c>
      <c r="N182" s="31">
        <f t="shared" si="144"/>
        <v>0</v>
      </c>
      <c r="O182" s="31">
        <f t="shared" si="144"/>
        <v>0</v>
      </c>
      <c r="P182" s="31">
        <f t="shared" si="144"/>
        <v>0</v>
      </c>
      <c r="Q182" s="31">
        <f t="shared" si="144"/>
        <v>0</v>
      </c>
      <c r="R182" s="31"/>
      <c r="S182" s="31">
        <f t="shared" si="128"/>
        <v>5064.6000000000004</v>
      </c>
      <c r="T182" s="31">
        <f t="shared" si="144"/>
        <v>0</v>
      </c>
      <c r="U182" s="31">
        <f t="shared" si="144"/>
        <v>0</v>
      </c>
      <c r="V182" s="31">
        <f t="shared" si="144"/>
        <v>0</v>
      </c>
      <c r="W182" s="31"/>
      <c r="X182" s="31">
        <f t="shared" ref="X182:AH182" si="145">SUBTOTAL(9,X181:X181)</f>
        <v>0</v>
      </c>
      <c r="Y182" s="31">
        <f t="shared" si="145"/>
        <v>0</v>
      </c>
      <c r="Z182" s="31">
        <f t="shared" si="145"/>
        <v>0</v>
      </c>
      <c r="AA182" s="31">
        <f t="shared" si="145"/>
        <v>5064.6000000000004</v>
      </c>
      <c r="AB182" s="31">
        <f t="shared" si="145"/>
        <v>0</v>
      </c>
      <c r="AC182" s="31">
        <f t="shared" si="145"/>
        <v>5064.6000000000004</v>
      </c>
      <c r="AD182" s="31">
        <f t="shared" si="145"/>
        <v>0</v>
      </c>
      <c r="AE182" s="31">
        <f t="shared" si="145"/>
        <v>0</v>
      </c>
      <c r="AF182" s="31">
        <f t="shared" si="145"/>
        <v>0</v>
      </c>
      <c r="AG182" s="31">
        <f t="shared" si="145"/>
        <v>0</v>
      </c>
      <c r="AH182" s="31">
        <f t="shared" si="145"/>
        <v>0</v>
      </c>
      <c r="AJ182" s="12"/>
    </row>
    <row r="183" spans="1:36" ht="17.399999999999999" customHeight="1" x14ac:dyDescent="0.3">
      <c r="A183" s="6" t="s">
        <v>334</v>
      </c>
      <c r="B183" s="20">
        <v>1066384</v>
      </c>
      <c r="C183" s="83" t="s">
        <v>333</v>
      </c>
      <c r="D183" s="93" t="str">
        <f t="shared" si="143"/>
        <v/>
      </c>
      <c r="E183" s="22">
        <v>6336</v>
      </c>
      <c r="F183" s="22"/>
      <c r="G183" s="24">
        <v>45596</v>
      </c>
      <c r="H183" s="23">
        <v>46233</v>
      </c>
      <c r="I183" s="46">
        <v>1</v>
      </c>
      <c r="J183" s="46" t="s">
        <v>206</v>
      </c>
      <c r="K183" s="6" t="s">
        <v>203</v>
      </c>
      <c r="L183" s="30"/>
      <c r="M183" s="30"/>
      <c r="N183" s="30"/>
      <c r="O183" s="53"/>
      <c r="P183" s="25"/>
      <c r="Q183" s="25"/>
      <c r="R183" s="25"/>
      <c r="S183" s="27">
        <f t="shared" si="128"/>
        <v>6336</v>
      </c>
      <c r="T183" s="31"/>
      <c r="U183" s="31"/>
      <c r="V183" s="31"/>
      <c r="W183" s="37"/>
      <c r="X183" s="22"/>
      <c r="Y183" s="22"/>
      <c r="Z183" s="22"/>
      <c r="AA183" s="28">
        <f>S183-Z183-Y183-X183</f>
        <v>6336</v>
      </c>
      <c r="AB183" s="28">
        <f>IF(H183-$AB$1&gt;365,AA183,0)</f>
        <v>0</v>
      </c>
      <c r="AC183" s="28">
        <f>IF(H183-$AB$1&lt;=365,AA183,0)</f>
        <v>6336</v>
      </c>
      <c r="AD183" s="28">
        <f>IF(H183="",AA183,0)</f>
        <v>0</v>
      </c>
      <c r="AE183" s="28">
        <f>IF(AND(H183-$AB$1&gt;365,H183-$AB$1&lt;=730),AB183,0)</f>
        <v>0</v>
      </c>
      <c r="AF183" s="28">
        <f>IF(AND(H183-$AB$1&gt;730,H183-$AB$1&lt;=1095),AB183,0)</f>
        <v>0</v>
      </c>
      <c r="AG183" s="28">
        <f>IF(AND(H183-$AB$1&gt;1095,H183-$AB$1&lt;=1825),AB183,0)</f>
        <v>0</v>
      </c>
      <c r="AH183" s="28">
        <f>IF(H183-$AB$1&gt;1825,AB183,0)</f>
        <v>0</v>
      </c>
      <c r="AJ183" s="12"/>
    </row>
    <row r="184" spans="1:36" ht="17.399999999999999" customHeight="1" x14ac:dyDescent="0.3">
      <c r="A184" s="115"/>
      <c r="B184" s="116"/>
      <c r="C184" s="117"/>
      <c r="D184" s="118" t="str">
        <f t="shared" si="143"/>
        <v/>
      </c>
      <c r="E184" s="31">
        <f>SUBTOTAL(9,E183:E183)</f>
        <v>6336</v>
      </c>
      <c r="F184" s="31"/>
      <c r="G184" s="119"/>
      <c r="H184" s="120"/>
      <c r="I184" s="115"/>
      <c r="J184" s="115"/>
      <c r="K184" s="115"/>
      <c r="L184" s="31">
        <f t="shared" ref="L184:V184" si="146">SUBTOTAL(9,L183:L183)</f>
        <v>0</v>
      </c>
      <c r="M184" s="31">
        <f t="shared" si="146"/>
        <v>0</v>
      </c>
      <c r="N184" s="31">
        <f t="shared" si="146"/>
        <v>0</v>
      </c>
      <c r="O184" s="31">
        <f t="shared" si="146"/>
        <v>0</v>
      </c>
      <c r="P184" s="31">
        <f t="shared" si="146"/>
        <v>0</v>
      </c>
      <c r="Q184" s="31">
        <f t="shared" si="146"/>
        <v>0</v>
      </c>
      <c r="R184" s="31"/>
      <c r="S184" s="31">
        <f t="shared" si="128"/>
        <v>6336</v>
      </c>
      <c r="T184" s="31">
        <f t="shared" si="146"/>
        <v>0</v>
      </c>
      <c r="U184" s="31">
        <f t="shared" si="146"/>
        <v>0</v>
      </c>
      <c r="V184" s="31">
        <f t="shared" si="146"/>
        <v>0</v>
      </c>
      <c r="W184" s="31"/>
      <c r="X184" s="31">
        <f t="shared" ref="X184:AH184" si="147">SUBTOTAL(9,X183:X183)</f>
        <v>0</v>
      </c>
      <c r="Y184" s="31">
        <f t="shared" si="147"/>
        <v>0</v>
      </c>
      <c r="Z184" s="31">
        <f t="shared" si="147"/>
        <v>0</v>
      </c>
      <c r="AA184" s="31">
        <f t="shared" si="147"/>
        <v>6336</v>
      </c>
      <c r="AB184" s="31">
        <f t="shared" si="147"/>
        <v>0</v>
      </c>
      <c r="AC184" s="31">
        <f t="shared" si="147"/>
        <v>6336</v>
      </c>
      <c r="AD184" s="31">
        <f t="shared" si="147"/>
        <v>0</v>
      </c>
      <c r="AE184" s="31">
        <f t="shared" si="147"/>
        <v>0</v>
      </c>
      <c r="AF184" s="31">
        <f t="shared" si="147"/>
        <v>0</v>
      </c>
      <c r="AG184" s="31">
        <f t="shared" si="147"/>
        <v>0</v>
      </c>
      <c r="AH184" s="31">
        <f t="shared" si="147"/>
        <v>0</v>
      </c>
      <c r="AJ184" s="12"/>
    </row>
    <row r="185" spans="1:36" ht="17.399999999999999" customHeight="1" x14ac:dyDescent="0.3">
      <c r="A185" s="6" t="s">
        <v>316</v>
      </c>
      <c r="B185" s="20">
        <v>1067908</v>
      </c>
      <c r="C185" s="83" t="s">
        <v>342</v>
      </c>
      <c r="D185" s="93" t="str">
        <f t="shared" si="143"/>
        <v/>
      </c>
      <c r="E185" s="22">
        <v>976.14</v>
      </c>
      <c r="F185" s="22" t="s">
        <v>158</v>
      </c>
      <c r="G185" s="24">
        <v>45630</v>
      </c>
      <c r="H185" s="23">
        <v>46385</v>
      </c>
      <c r="I185" s="46">
        <v>0.3</v>
      </c>
      <c r="J185" s="46" t="s">
        <v>206</v>
      </c>
      <c r="K185" s="6" t="s">
        <v>204</v>
      </c>
      <c r="L185" s="30"/>
      <c r="M185" s="30"/>
      <c r="N185" s="30"/>
      <c r="O185" s="53"/>
      <c r="P185" s="25"/>
      <c r="Q185" s="25"/>
      <c r="R185" s="25"/>
      <c r="S185" s="27">
        <f t="shared" si="128"/>
        <v>976.14</v>
      </c>
      <c r="T185" s="31"/>
      <c r="U185" s="31"/>
      <c r="V185" s="31"/>
      <c r="W185" s="37"/>
      <c r="X185" s="22"/>
      <c r="Y185" s="22"/>
      <c r="Z185" s="22"/>
      <c r="AA185" s="28">
        <f>S185-Z185-Y185-X185</f>
        <v>976.14</v>
      </c>
      <c r="AB185" s="28">
        <f>IF(H185-$AB$1&gt;365,AA185,0)</f>
        <v>976.14</v>
      </c>
      <c r="AC185" s="28">
        <f>IF(H185-$AB$1&lt;=365,AA185,0)</f>
        <v>0</v>
      </c>
      <c r="AD185" s="28">
        <f>IF(H185="",AA185,0)</f>
        <v>0</v>
      </c>
      <c r="AE185" s="28">
        <f>IF(AND(H185-$AB$1&gt;365,H185-$AB$1&lt;=730),AB185,0)</f>
        <v>976.14</v>
      </c>
      <c r="AF185" s="28">
        <f>IF(AND(H185-$AB$1&gt;730,H185-$AB$1&lt;=1095),AB185,0)</f>
        <v>0</v>
      </c>
      <c r="AG185" s="28">
        <f>IF(AND(H185-$AB$1&gt;1095,H185-$AB$1&lt;=1825),AB185,0)</f>
        <v>0</v>
      </c>
      <c r="AH185" s="28">
        <f>IF(H185-$AB$1&gt;1825,AB185,0)</f>
        <v>0</v>
      </c>
      <c r="AJ185" s="12"/>
    </row>
    <row r="186" spans="1:36" ht="17.399999999999999" customHeight="1" x14ac:dyDescent="0.3">
      <c r="A186" s="6" t="s">
        <v>316</v>
      </c>
      <c r="B186" s="20">
        <v>1067908</v>
      </c>
      <c r="C186" s="83" t="s">
        <v>317</v>
      </c>
      <c r="D186" s="93" t="str">
        <f t="shared" si="143"/>
        <v/>
      </c>
      <c r="E186" s="22">
        <f>1122-635.8-340.34</f>
        <v>145.86000000000007</v>
      </c>
      <c r="F186" s="22"/>
      <c r="G186" s="24">
        <v>45510</v>
      </c>
      <c r="H186" s="23">
        <v>46720</v>
      </c>
      <c r="I186" s="46">
        <v>0.3</v>
      </c>
      <c r="J186" s="46" t="s">
        <v>206</v>
      </c>
      <c r="K186" s="6" t="s">
        <v>204</v>
      </c>
      <c r="L186" s="30"/>
      <c r="M186" s="30"/>
      <c r="N186" s="30"/>
      <c r="O186" s="53"/>
      <c r="P186" s="25"/>
      <c r="Q186" s="25"/>
      <c r="R186" s="25"/>
      <c r="S186" s="27">
        <f t="shared" si="128"/>
        <v>145.86000000000007</v>
      </c>
      <c r="T186" s="31"/>
      <c r="U186" s="31"/>
      <c r="V186" s="31"/>
      <c r="W186" s="37"/>
      <c r="X186" s="22"/>
      <c r="Y186" s="22"/>
      <c r="Z186" s="22"/>
      <c r="AA186" s="28">
        <f>S186-Z186-Y186-X186</f>
        <v>145.86000000000007</v>
      </c>
      <c r="AB186" s="28">
        <f>IF(H186-$AB$1&gt;365,AA186,0)</f>
        <v>145.86000000000007</v>
      </c>
      <c r="AC186" s="28">
        <f>IF(H186-$AB$1&lt;=365,AA186,0)</f>
        <v>0</v>
      </c>
      <c r="AD186" s="28">
        <f>IF(H186="",AA186,0)</f>
        <v>0</v>
      </c>
      <c r="AE186" s="28">
        <f>IF(AND(H186-$AB$1&gt;365,H186-$AB$1&lt;=730),AB186,0)</f>
        <v>0</v>
      </c>
      <c r="AF186" s="28">
        <f>IF(AND(H186-$AB$1&gt;730,H186-$AB$1&lt;=1095),AB186,0)</f>
        <v>145.86000000000007</v>
      </c>
      <c r="AG186" s="28">
        <f>IF(AND(H186-$AB$1&gt;1095,H186-$AB$1&lt;=1825),AB186,0)</f>
        <v>0</v>
      </c>
      <c r="AH186" s="28">
        <f>IF(H186-$AB$1&gt;1825,AB186,0)</f>
        <v>0</v>
      </c>
      <c r="AJ186" s="12"/>
    </row>
    <row r="187" spans="1:36" ht="17.399999999999999" customHeight="1" x14ac:dyDescent="0.3">
      <c r="A187" s="115"/>
      <c r="B187" s="116"/>
      <c r="C187" s="117"/>
      <c r="D187" s="118" t="str">
        <f t="shared" si="143"/>
        <v/>
      </c>
      <c r="E187" s="31">
        <f>SUBTOTAL(9,E185:E186)</f>
        <v>1122</v>
      </c>
      <c r="F187" s="31"/>
      <c r="G187" s="119"/>
      <c r="H187" s="120"/>
      <c r="I187" s="115"/>
      <c r="J187" s="115"/>
      <c r="K187" s="115"/>
      <c r="L187" s="31">
        <f t="shared" ref="L187:V187" si="148">SUBTOTAL(9,L185:L186)</f>
        <v>0</v>
      </c>
      <c r="M187" s="31">
        <f t="shared" si="148"/>
        <v>0</v>
      </c>
      <c r="N187" s="31">
        <f t="shared" si="148"/>
        <v>0</v>
      </c>
      <c r="O187" s="31">
        <f t="shared" si="148"/>
        <v>0</v>
      </c>
      <c r="P187" s="31">
        <f t="shared" si="148"/>
        <v>0</v>
      </c>
      <c r="Q187" s="31">
        <f t="shared" si="148"/>
        <v>0</v>
      </c>
      <c r="R187" s="31"/>
      <c r="S187" s="31">
        <f t="shared" si="128"/>
        <v>1122</v>
      </c>
      <c r="T187" s="31">
        <f t="shared" si="148"/>
        <v>0</v>
      </c>
      <c r="U187" s="31">
        <f t="shared" si="148"/>
        <v>0</v>
      </c>
      <c r="V187" s="31">
        <f t="shared" si="148"/>
        <v>0</v>
      </c>
      <c r="W187" s="31"/>
      <c r="X187" s="31">
        <f t="shared" ref="X187:AH187" si="149">SUBTOTAL(9,X185:X186)</f>
        <v>0</v>
      </c>
      <c r="Y187" s="31">
        <f t="shared" si="149"/>
        <v>0</v>
      </c>
      <c r="Z187" s="31">
        <f t="shared" si="149"/>
        <v>0</v>
      </c>
      <c r="AA187" s="31">
        <f t="shared" si="149"/>
        <v>1122</v>
      </c>
      <c r="AB187" s="31">
        <f t="shared" si="149"/>
        <v>1122</v>
      </c>
      <c r="AC187" s="31">
        <f t="shared" si="149"/>
        <v>0</v>
      </c>
      <c r="AD187" s="31">
        <f t="shared" si="149"/>
        <v>0</v>
      </c>
      <c r="AE187" s="31">
        <f t="shared" si="149"/>
        <v>976.14</v>
      </c>
      <c r="AF187" s="31">
        <f t="shared" si="149"/>
        <v>145.86000000000007</v>
      </c>
      <c r="AG187" s="31">
        <f t="shared" si="149"/>
        <v>0</v>
      </c>
      <c r="AH187" s="31">
        <f t="shared" si="149"/>
        <v>0</v>
      </c>
      <c r="AJ187" s="12"/>
    </row>
    <row r="188" spans="1:36" ht="17.399999999999999" customHeight="1" x14ac:dyDescent="0.3">
      <c r="A188" s="90" t="s">
        <v>50</v>
      </c>
      <c r="B188" s="20">
        <v>1075631</v>
      </c>
      <c r="C188" s="83" t="s">
        <v>309</v>
      </c>
      <c r="D188" s="93" t="str">
        <f t="shared" ref="D188:D210" si="150">IF(W188&gt;0,"zwrócone","")</f>
        <v/>
      </c>
      <c r="E188" s="22">
        <v>12781</v>
      </c>
      <c r="F188" s="22" t="s">
        <v>158</v>
      </c>
      <c r="G188" s="24">
        <v>45450</v>
      </c>
      <c r="H188" s="24">
        <v>46083</v>
      </c>
      <c r="I188" s="142">
        <v>0.7</v>
      </c>
      <c r="J188" s="123"/>
      <c r="K188" s="123" t="s">
        <v>203</v>
      </c>
      <c r="L188" s="25"/>
      <c r="M188" s="25"/>
      <c r="N188" s="25"/>
      <c r="O188" s="25"/>
      <c r="P188" s="25"/>
      <c r="Q188" s="25"/>
      <c r="R188" s="25"/>
      <c r="S188" s="27">
        <f t="shared" si="128"/>
        <v>12781</v>
      </c>
      <c r="T188" s="28">
        <f>IF(H188-$T$1&gt;365,S188,0)</f>
        <v>0</v>
      </c>
      <c r="U188" s="28">
        <f>IF(H188-$T$1&lt;365,S188,0)</f>
        <v>12781</v>
      </c>
      <c r="V188" s="28">
        <f>IF(H188="",S188,0)</f>
        <v>0</v>
      </c>
      <c r="W188" s="8"/>
      <c r="X188" s="28"/>
      <c r="Y188" s="28"/>
      <c r="Z188" s="28"/>
      <c r="AA188" s="28">
        <f>S188-Z188-Y188-X188</f>
        <v>12781</v>
      </c>
      <c r="AB188" s="28">
        <f>IF(H188-$AB$1&gt;365,AA188,0)</f>
        <v>0</v>
      </c>
      <c r="AC188" s="28">
        <f>IF(H188-$AB$1&lt;=365,AA188,0)</f>
        <v>12781</v>
      </c>
      <c r="AD188" s="28">
        <f>IF(H188="",AA188,0)</f>
        <v>0</v>
      </c>
      <c r="AE188" s="28">
        <f>IF(AND(H188-$AB$1&gt;365,H188-$AB$1&lt;=730),AB188,0)</f>
        <v>0</v>
      </c>
      <c r="AF188" s="28">
        <f>IF(AND(H188-$AB$1&gt;730,H188-$AB$1&lt;=1095),AB188,0)</f>
        <v>0</v>
      </c>
      <c r="AG188" s="28">
        <f>IF(AND(H188-$AB$1&gt;1095,H188-$AB$1&lt;=1825),AB188,0)</f>
        <v>0</v>
      </c>
      <c r="AH188" s="28">
        <f>IF(H188-$AB$1&gt;1825,AB188,0)</f>
        <v>0</v>
      </c>
      <c r="AJ188" s="12"/>
    </row>
    <row r="189" spans="1:36" ht="17.399999999999999" customHeight="1" x14ac:dyDescent="0.3">
      <c r="A189" s="2" t="s">
        <v>50</v>
      </c>
      <c r="B189" s="20">
        <v>1075631</v>
      </c>
      <c r="C189" s="83" t="s">
        <v>309</v>
      </c>
      <c r="D189" s="93" t="str">
        <f t="shared" si="150"/>
        <v/>
      </c>
      <c r="E189" s="22">
        <v>5477.56</v>
      </c>
      <c r="F189" s="22" t="s">
        <v>158</v>
      </c>
      <c r="G189" s="24">
        <v>45450</v>
      </c>
      <c r="H189" s="24">
        <v>46463</v>
      </c>
      <c r="I189" s="46">
        <v>0.3</v>
      </c>
      <c r="J189" s="46"/>
      <c r="K189" s="6" t="s">
        <v>203</v>
      </c>
      <c r="L189" s="25"/>
      <c r="M189" s="25"/>
      <c r="N189" s="25"/>
      <c r="O189" s="25"/>
      <c r="P189" s="25"/>
      <c r="Q189" s="25"/>
      <c r="R189" s="25"/>
      <c r="S189" s="27">
        <f t="shared" si="128"/>
        <v>5477.56</v>
      </c>
      <c r="T189" s="28">
        <f>IF(H189-$T$1&gt;365,S189,0)</f>
        <v>5477.56</v>
      </c>
      <c r="U189" s="28">
        <f>IF(H189-$T$1&lt;365,S189,0)</f>
        <v>0</v>
      </c>
      <c r="V189" s="28">
        <f>IF(H189="",S189,0)</f>
        <v>0</v>
      </c>
      <c r="W189" s="8"/>
      <c r="X189" s="28"/>
      <c r="Y189" s="28"/>
      <c r="Z189" s="28"/>
      <c r="AA189" s="28">
        <f>S189-Z189-Y189-X189</f>
        <v>5477.56</v>
      </c>
      <c r="AB189" s="28">
        <f>IF(H189-$AB$1&gt;365,AA189,0)</f>
        <v>5477.56</v>
      </c>
      <c r="AC189" s="28">
        <f>IF(H189-$AB$1&lt;=365,AA189,0)</f>
        <v>0</v>
      </c>
      <c r="AD189" s="28">
        <f>IF(H189="",AA189,0)</f>
        <v>0</v>
      </c>
      <c r="AE189" s="28">
        <f>IF(AND(H189-$AB$1&gt;365,H189-$AB$1&lt;=730),AB189,0)</f>
        <v>5477.56</v>
      </c>
      <c r="AF189" s="28">
        <f>IF(AND(H189-$AB$1&gt;730,H189-$AB$1&lt;=1095),AB189,0)</f>
        <v>0</v>
      </c>
      <c r="AG189" s="28">
        <f>IF(AND(H189-$AB$1&gt;1095,H189-$AB$1&lt;=1825),AB189,0)</f>
        <v>0</v>
      </c>
      <c r="AH189" s="28">
        <f>IF(H189-$AB$1&gt;1825,AB189,0)</f>
        <v>0</v>
      </c>
      <c r="AJ189" s="12"/>
    </row>
    <row r="190" spans="1:36" ht="17.399999999999999" customHeight="1" x14ac:dyDescent="0.3">
      <c r="A190" s="115"/>
      <c r="B190" s="116"/>
      <c r="C190" s="117"/>
      <c r="D190" s="118" t="str">
        <f t="shared" si="150"/>
        <v/>
      </c>
      <c r="E190" s="31">
        <f>SUBTOTAL(9,E188:E189)</f>
        <v>18258.560000000001</v>
      </c>
      <c r="F190" s="31"/>
      <c r="G190" s="119"/>
      <c r="H190" s="120"/>
      <c r="I190" s="115"/>
      <c r="J190" s="115"/>
      <c r="K190" s="115"/>
      <c r="L190" s="31">
        <f t="shared" ref="L190:V190" si="151">SUBTOTAL(9,L188:L189)</f>
        <v>0</v>
      </c>
      <c r="M190" s="31">
        <f t="shared" si="151"/>
        <v>0</v>
      </c>
      <c r="N190" s="31">
        <f t="shared" si="151"/>
        <v>0</v>
      </c>
      <c r="O190" s="31">
        <f t="shared" si="151"/>
        <v>0</v>
      </c>
      <c r="P190" s="31">
        <f t="shared" si="151"/>
        <v>0</v>
      </c>
      <c r="Q190" s="31">
        <f t="shared" si="151"/>
        <v>0</v>
      </c>
      <c r="R190" s="31"/>
      <c r="S190" s="31">
        <f t="shared" si="128"/>
        <v>18258.560000000001</v>
      </c>
      <c r="T190" s="31">
        <f t="shared" si="151"/>
        <v>5477.56</v>
      </c>
      <c r="U190" s="31">
        <f t="shared" si="151"/>
        <v>12781</v>
      </c>
      <c r="V190" s="31">
        <f t="shared" si="151"/>
        <v>0</v>
      </c>
      <c r="W190" s="31"/>
      <c r="X190" s="31">
        <f t="shared" ref="X190:AH190" si="152">SUBTOTAL(9,X188:X189)</f>
        <v>0</v>
      </c>
      <c r="Y190" s="31">
        <f t="shared" si="152"/>
        <v>0</v>
      </c>
      <c r="Z190" s="31">
        <f t="shared" si="152"/>
        <v>0</v>
      </c>
      <c r="AA190" s="31">
        <f t="shared" si="152"/>
        <v>18258.560000000001</v>
      </c>
      <c r="AB190" s="31">
        <f t="shared" si="152"/>
        <v>5477.56</v>
      </c>
      <c r="AC190" s="31">
        <f t="shared" si="152"/>
        <v>12781</v>
      </c>
      <c r="AD190" s="31">
        <f t="shared" si="152"/>
        <v>0</v>
      </c>
      <c r="AE190" s="31">
        <f t="shared" si="152"/>
        <v>5477.56</v>
      </c>
      <c r="AF190" s="31">
        <f t="shared" si="152"/>
        <v>0</v>
      </c>
      <c r="AG190" s="31">
        <f t="shared" si="152"/>
        <v>0</v>
      </c>
      <c r="AH190" s="31">
        <f t="shared" si="152"/>
        <v>0</v>
      </c>
      <c r="AJ190" s="12"/>
    </row>
    <row r="191" spans="1:36" ht="17.399999999999999" customHeight="1" x14ac:dyDescent="0.3">
      <c r="A191" s="85" t="s">
        <v>51</v>
      </c>
      <c r="B191" s="183">
        <v>1079000</v>
      </c>
      <c r="C191" s="157" t="s">
        <v>321</v>
      </c>
      <c r="D191" s="158" t="str">
        <f t="shared" si="150"/>
        <v>zwrócone</v>
      </c>
      <c r="E191" s="159">
        <v>9880.2000000000007</v>
      </c>
      <c r="F191" s="184"/>
      <c r="G191" s="160">
        <v>45527</v>
      </c>
      <c r="H191" s="84">
        <v>45587</v>
      </c>
      <c r="I191" s="46">
        <v>1</v>
      </c>
      <c r="J191" s="46" t="s">
        <v>206</v>
      </c>
      <c r="K191" s="6" t="s">
        <v>219</v>
      </c>
      <c r="L191" s="25"/>
      <c r="M191" s="25"/>
      <c r="N191" s="25"/>
      <c r="O191" s="25"/>
      <c r="P191" s="25"/>
      <c r="Q191" s="25"/>
      <c r="R191" s="25"/>
      <c r="S191" s="27">
        <f t="shared" si="128"/>
        <v>9880.2000000000007</v>
      </c>
      <c r="T191" s="28"/>
      <c r="U191" s="28"/>
      <c r="V191" s="28"/>
      <c r="W191" s="37">
        <v>45728</v>
      </c>
      <c r="X191" s="28"/>
      <c r="Y191" s="28"/>
      <c r="Z191" s="28">
        <v>9880.2000000000007</v>
      </c>
      <c r="AA191" s="28">
        <f>S191-Z191-Y191-X191</f>
        <v>0</v>
      </c>
      <c r="AB191" s="28">
        <f>IF(H191-$AB$1&gt;365,AA191,0)</f>
        <v>0</v>
      </c>
      <c r="AC191" s="28">
        <f>IF(H191-$AB$1&lt;=365,AA191,0)</f>
        <v>0</v>
      </c>
      <c r="AD191" s="28">
        <f>IF(H191="",AA191,0)</f>
        <v>0</v>
      </c>
      <c r="AE191" s="28">
        <f>IF(AND(H191-$AB$1&gt;365,H191-$AB$1&lt;=730),AB191,0)</f>
        <v>0</v>
      </c>
      <c r="AF191" s="28">
        <f>IF(AND(H191-$AB$1&gt;730,H191-$AB$1&lt;=1095),AB191,0)</f>
        <v>0</v>
      </c>
      <c r="AG191" s="28">
        <f>IF(AND(H191-$AB$1&gt;1095,H191-$AB$1&lt;=1825),AB191,0)</f>
        <v>0</v>
      </c>
      <c r="AH191" s="28">
        <f>IF(H191-$AB$1&gt;1825,AB191,0)</f>
        <v>0</v>
      </c>
      <c r="AJ191" s="12"/>
    </row>
    <row r="192" spans="1:36" ht="17.399999999999999" customHeight="1" x14ac:dyDescent="0.3">
      <c r="A192" s="6" t="s">
        <v>51</v>
      </c>
      <c r="B192" s="20">
        <v>1079000</v>
      </c>
      <c r="C192" s="83" t="s">
        <v>399</v>
      </c>
      <c r="D192" s="93" t="str">
        <f t="shared" si="150"/>
        <v/>
      </c>
      <c r="E192" s="22">
        <v>4677.38</v>
      </c>
      <c r="F192" s="156"/>
      <c r="G192" s="24">
        <v>45811</v>
      </c>
      <c r="H192" s="23">
        <v>45968</v>
      </c>
      <c r="I192" s="46">
        <v>1</v>
      </c>
      <c r="J192" s="46" t="s">
        <v>206</v>
      </c>
      <c r="K192" s="6" t="s">
        <v>204</v>
      </c>
      <c r="L192" s="25"/>
      <c r="M192" s="25"/>
      <c r="N192" s="25"/>
      <c r="O192" s="25"/>
      <c r="P192" s="25"/>
      <c r="Q192" s="25"/>
      <c r="R192" s="25"/>
      <c r="S192" s="27">
        <f t="shared" si="128"/>
        <v>4677.38</v>
      </c>
      <c r="T192" s="28"/>
      <c r="U192" s="28"/>
      <c r="V192" s="28"/>
      <c r="W192" s="37"/>
      <c r="X192" s="28"/>
      <c r="Y192" s="28"/>
      <c r="Z192" s="28"/>
      <c r="AA192" s="28">
        <f>S192-Z192-Y192-X192</f>
        <v>4677.38</v>
      </c>
      <c r="AB192" s="28">
        <f>IF(H192-$AB$1&gt;365,AA192,0)</f>
        <v>0</v>
      </c>
      <c r="AC192" s="28">
        <f>IF(H192-$AB$1&lt;=365,AA192,0)</f>
        <v>4677.38</v>
      </c>
      <c r="AD192" s="28">
        <f>IF(H192="",AA192,0)</f>
        <v>0</v>
      </c>
      <c r="AE192" s="28">
        <f>IF(AND(H192-$AB$1&gt;365,H192-$AB$1&lt;=730),AB192,0)</f>
        <v>0</v>
      </c>
      <c r="AF192" s="28">
        <f>IF(AND(H192-$AB$1&gt;730,H192-$AB$1&lt;=1095),AB192,0)</f>
        <v>0</v>
      </c>
      <c r="AG192" s="28">
        <f>IF(AND(H192-$AB$1&gt;1095,H192-$AB$1&lt;=1825),AB192,0)</f>
        <v>0</v>
      </c>
      <c r="AH192" s="28">
        <f>IF(H192-$AB$1&gt;1825,AB192,0)</f>
        <v>0</v>
      </c>
      <c r="AJ192" s="12"/>
    </row>
    <row r="193" spans="1:36" ht="17.399999999999999" customHeight="1" x14ac:dyDescent="0.3">
      <c r="A193" s="6" t="s">
        <v>51</v>
      </c>
      <c r="B193" s="20">
        <v>1079000</v>
      </c>
      <c r="C193" s="83" t="s">
        <v>353</v>
      </c>
      <c r="D193" s="93" t="str">
        <f t="shared" si="150"/>
        <v/>
      </c>
      <c r="E193" s="22">
        <v>19464</v>
      </c>
      <c r="F193" s="156"/>
      <c r="G193" s="24">
        <v>45686</v>
      </c>
      <c r="H193" s="23">
        <v>46052</v>
      </c>
      <c r="I193" s="46">
        <v>1</v>
      </c>
      <c r="J193" s="46" t="s">
        <v>206</v>
      </c>
      <c r="K193" s="6" t="s">
        <v>219</v>
      </c>
      <c r="L193" s="25"/>
      <c r="M193" s="25"/>
      <c r="N193" s="25"/>
      <c r="O193" s="25"/>
      <c r="P193" s="25"/>
      <c r="Q193" s="25"/>
      <c r="R193" s="25"/>
      <c r="S193" s="27">
        <f t="shared" si="128"/>
        <v>19464</v>
      </c>
      <c r="T193" s="28"/>
      <c r="U193" s="28"/>
      <c r="V193" s="28"/>
      <c r="W193" s="37"/>
      <c r="X193" s="28"/>
      <c r="Y193" s="28"/>
      <c r="Z193" s="28"/>
      <c r="AA193" s="28">
        <f>S193-Z193-Y193-X193</f>
        <v>19464</v>
      </c>
      <c r="AB193" s="28">
        <f>IF(H193-$AB$1&gt;365,AA193,0)</f>
        <v>0</v>
      </c>
      <c r="AC193" s="28">
        <f>IF(H193-$AB$1&lt;=365,AA193,0)</f>
        <v>19464</v>
      </c>
      <c r="AD193" s="28">
        <f>IF(H193="",AA193,0)</f>
        <v>0</v>
      </c>
      <c r="AE193" s="28">
        <f>IF(AND(H193-$AB$1&gt;365,H193-$AB$1&lt;=730),AB193,0)</f>
        <v>0</v>
      </c>
      <c r="AF193" s="28">
        <f>IF(AND(H193-$AB$1&gt;730,H193-$AB$1&lt;=1095),AB193,0)</f>
        <v>0</v>
      </c>
      <c r="AG193" s="28">
        <f>IF(AND(H193-$AB$1&gt;1095,H193-$AB$1&lt;=1825),AB193,0)</f>
        <v>0</v>
      </c>
      <c r="AH193" s="28">
        <f>IF(H193-$AB$1&gt;1825,AB193,0)</f>
        <v>0</v>
      </c>
      <c r="AJ193" s="12"/>
    </row>
    <row r="194" spans="1:36" ht="17.399999999999999" customHeight="1" x14ac:dyDescent="0.3">
      <c r="A194" s="115"/>
      <c r="B194" s="116"/>
      <c r="C194" s="117"/>
      <c r="D194" s="118"/>
      <c r="E194" s="31">
        <f>SUBTOTAL(9,E191:E193)</f>
        <v>34021.58</v>
      </c>
      <c r="F194" s="31"/>
      <c r="G194" s="31"/>
      <c r="H194" s="31"/>
      <c r="I194" s="31"/>
      <c r="J194" s="31"/>
      <c r="K194" s="31"/>
      <c r="L194" s="31">
        <f t="shared" ref="L194:AH194" si="153">SUBTOTAL(9,L191:L193)</f>
        <v>0</v>
      </c>
      <c r="M194" s="31">
        <f t="shared" si="153"/>
        <v>0</v>
      </c>
      <c r="N194" s="31">
        <f t="shared" si="153"/>
        <v>0</v>
      </c>
      <c r="O194" s="31">
        <f t="shared" si="153"/>
        <v>0</v>
      </c>
      <c r="P194" s="31">
        <f t="shared" si="153"/>
        <v>0</v>
      </c>
      <c r="Q194" s="31">
        <f t="shared" si="153"/>
        <v>0</v>
      </c>
      <c r="R194" s="31"/>
      <c r="S194" s="31">
        <f t="shared" si="128"/>
        <v>34021.58</v>
      </c>
      <c r="T194" s="31">
        <f t="shared" si="153"/>
        <v>0</v>
      </c>
      <c r="U194" s="31">
        <f t="shared" si="153"/>
        <v>0</v>
      </c>
      <c r="V194" s="31">
        <f t="shared" si="153"/>
        <v>0</v>
      </c>
      <c r="W194" s="31"/>
      <c r="X194" s="31">
        <f t="shared" si="153"/>
        <v>0</v>
      </c>
      <c r="Y194" s="31">
        <f t="shared" si="153"/>
        <v>0</v>
      </c>
      <c r="Z194" s="31">
        <f t="shared" si="153"/>
        <v>9880.2000000000007</v>
      </c>
      <c r="AA194" s="31">
        <f t="shared" si="153"/>
        <v>24141.38</v>
      </c>
      <c r="AB194" s="31">
        <f t="shared" si="153"/>
        <v>0</v>
      </c>
      <c r="AC194" s="31">
        <f t="shared" si="153"/>
        <v>24141.38</v>
      </c>
      <c r="AD194" s="31">
        <f t="shared" si="153"/>
        <v>0</v>
      </c>
      <c r="AE194" s="31">
        <f t="shared" si="153"/>
        <v>0</v>
      </c>
      <c r="AF194" s="31">
        <f t="shared" si="153"/>
        <v>0</v>
      </c>
      <c r="AG194" s="31">
        <f t="shared" si="153"/>
        <v>0</v>
      </c>
      <c r="AH194" s="31">
        <f t="shared" si="153"/>
        <v>0</v>
      </c>
      <c r="AJ194" s="12"/>
    </row>
    <row r="195" spans="1:36" ht="17.399999999999999" customHeight="1" x14ac:dyDescent="0.3">
      <c r="A195" s="90" t="s">
        <v>52</v>
      </c>
      <c r="B195" s="32">
        <v>1079250</v>
      </c>
      <c r="C195" s="83" t="s">
        <v>53</v>
      </c>
      <c r="D195" s="93" t="str">
        <f t="shared" si="150"/>
        <v/>
      </c>
      <c r="E195" s="22">
        <v>2250</v>
      </c>
      <c r="F195" s="22"/>
      <c r="G195" s="24">
        <v>43229</v>
      </c>
      <c r="H195" s="160">
        <v>46189</v>
      </c>
      <c r="I195" s="46">
        <v>0.3</v>
      </c>
      <c r="J195" s="123" t="s">
        <v>257</v>
      </c>
      <c r="K195" s="123" t="s">
        <v>194</v>
      </c>
      <c r="L195" s="25">
        <v>46.710000000000036</v>
      </c>
      <c r="M195" s="25">
        <v>6.17</v>
      </c>
      <c r="N195" s="25">
        <v>0.84</v>
      </c>
      <c r="O195" s="25">
        <v>113.15</v>
      </c>
      <c r="P195" s="25">
        <f>ROUND(((E195*6.01%)/365)*365,2)</f>
        <v>135.22999999999999</v>
      </c>
      <c r="Q195" s="25">
        <f>ROUND((E195*5.31%),2)</f>
        <v>119.48</v>
      </c>
      <c r="R195" s="25"/>
      <c r="S195" s="27">
        <f t="shared" si="128"/>
        <v>2671.5800000000004</v>
      </c>
      <c r="T195" s="28">
        <f t="shared" ref="T195:T200" si="154">IF(H195-$T$1&gt;365,S195,0)</f>
        <v>0</v>
      </c>
      <c r="U195" s="28">
        <f t="shared" ref="U195:U200" si="155">IF(H195-$T$1&lt;365,S195,0)</f>
        <v>2671.5800000000004</v>
      </c>
      <c r="V195" s="28">
        <f t="shared" ref="V195:V200" si="156">IF(H195="",S195,0)</f>
        <v>0</v>
      </c>
      <c r="W195" s="8"/>
      <c r="X195" s="28"/>
      <c r="Y195" s="28"/>
      <c r="Z195" s="28"/>
      <c r="AA195" s="28">
        <f t="shared" ref="AA195:AA200" si="157">S195-Z195-Y195-X195</f>
        <v>2671.5800000000004</v>
      </c>
      <c r="AB195" s="28">
        <f t="shared" ref="AB195:AB200" si="158">IF(H195-$AB$1&gt;365,AA195,0)</f>
        <v>0</v>
      </c>
      <c r="AC195" s="28">
        <f t="shared" ref="AC195:AC200" si="159">IF(H195-$AB$1&lt;=365,AA195,0)</f>
        <v>2671.5800000000004</v>
      </c>
      <c r="AD195" s="28">
        <f t="shared" ref="AD195:AD200" si="160">IF(H195="",AA195,0)</f>
        <v>0</v>
      </c>
      <c r="AE195" s="28">
        <f t="shared" ref="AE195:AE200" si="161">IF(AND(H195-$AB$1&gt;365,H195-$AB$1&lt;=730),AB195,0)</f>
        <v>0</v>
      </c>
      <c r="AF195" s="28">
        <f t="shared" ref="AF195:AF200" si="162">IF(AND(H195-$AB$1&gt;730,H195-$AB$1&lt;=1095),AB195,0)</f>
        <v>0</v>
      </c>
      <c r="AG195" s="28">
        <f t="shared" ref="AG195:AG200" si="163">IF(AND(H195-$AB$1&gt;1095,H195-$AB$1&lt;=1825),AB195,0)</f>
        <v>0</v>
      </c>
      <c r="AH195" s="28">
        <f t="shared" ref="AH195:AH200" si="164">IF(H195-$AB$1&gt;1825,AB195,0)</f>
        <v>0</v>
      </c>
    </row>
    <row r="196" spans="1:36" ht="17.399999999999999" customHeight="1" x14ac:dyDescent="0.3">
      <c r="A196" s="2" t="s">
        <v>52</v>
      </c>
      <c r="B196" s="32">
        <v>1079250</v>
      </c>
      <c r="C196" s="83" t="s">
        <v>100</v>
      </c>
      <c r="D196" s="93" t="str">
        <f t="shared" si="150"/>
        <v/>
      </c>
      <c r="E196" s="22">
        <f>190125-21426.6</f>
        <v>168698.4</v>
      </c>
      <c r="F196" s="22"/>
      <c r="G196" s="24" t="s">
        <v>98</v>
      </c>
      <c r="H196" s="160">
        <v>46189</v>
      </c>
      <c r="I196" s="46">
        <v>0.3</v>
      </c>
      <c r="J196" s="46" t="s">
        <v>257</v>
      </c>
      <c r="K196" s="6" t="s">
        <v>194</v>
      </c>
      <c r="L196" s="25">
        <v>2824.82</v>
      </c>
      <c r="M196" s="25">
        <v>521.41</v>
      </c>
      <c r="N196" s="25">
        <v>71.099999999999994</v>
      </c>
      <c r="O196" s="25">
        <v>9561.31</v>
      </c>
      <c r="P196" s="25">
        <v>11426.51</v>
      </c>
      <c r="Q196" s="25">
        <f>ROUND((E196*5.31%),2)</f>
        <v>8957.89</v>
      </c>
      <c r="R196" s="25"/>
      <c r="S196" s="27">
        <f t="shared" si="128"/>
        <v>202061.44</v>
      </c>
      <c r="T196" s="28">
        <f t="shared" si="154"/>
        <v>0</v>
      </c>
      <c r="U196" s="28">
        <f t="shared" si="155"/>
        <v>202061.44</v>
      </c>
      <c r="V196" s="28">
        <f t="shared" si="156"/>
        <v>0</v>
      </c>
      <c r="W196" s="8"/>
      <c r="X196" s="28"/>
      <c r="Y196" s="28"/>
      <c r="Z196" s="28"/>
      <c r="AA196" s="28">
        <f t="shared" si="157"/>
        <v>202061.44</v>
      </c>
      <c r="AB196" s="28">
        <f t="shared" si="158"/>
        <v>0</v>
      </c>
      <c r="AC196" s="28">
        <f t="shared" si="159"/>
        <v>202061.44</v>
      </c>
      <c r="AD196" s="28">
        <f t="shared" si="160"/>
        <v>0</v>
      </c>
      <c r="AE196" s="28">
        <f t="shared" si="161"/>
        <v>0</v>
      </c>
      <c r="AF196" s="28">
        <f t="shared" si="162"/>
        <v>0</v>
      </c>
      <c r="AG196" s="28">
        <f t="shared" si="163"/>
        <v>0</v>
      </c>
      <c r="AH196" s="28">
        <f t="shared" si="164"/>
        <v>0</v>
      </c>
    </row>
    <row r="197" spans="1:36" ht="17.399999999999999" customHeight="1" x14ac:dyDescent="0.3">
      <c r="A197" s="90" t="s">
        <v>52</v>
      </c>
      <c r="B197" s="32">
        <v>1079250</v>
      </c>
      <c r="C197" s="83" t="s">
        <v>54</v>
      </c>
      <c r="D197" s="93" t="str">
        <f t="shared" si="150"/>
        <v/>
      </c>
      <c r="E197" s="22">
        <v>3588</v>
      </c>
      <c r="F197" s="22"/>
      <c r="G197" s="24">
        <v>43523</v>
      </c>
      <c r="H197" s="160">
        <v>46189</v>
      </c>
      <c r="I197" s="46">
        <v>0.3</v>
      </c>
      <c r="J197" s="46" t="s">
        <v>257</v>
      </c>
      <c r="K197" s="123" t="s">
        <v>194</v>
      </c>
      <c r="L197" s="25">
        <v>38.659999999999854</v>
      </c>
      <c r="M197" s="25">
        <v>9.84</v>
      </c>
      <c r="N197" s="25">
        <v>1.34</v>
      </c>
      <c r="O197" s="25">
        <v>180.44</v>
      </c>
      <c r="P197" s="25">
        <f>ROUND(((E197*6.01%)/365)*365,2)</f>
        <v>215.64</v>
      </c>
      <c r="Q197" s="25">
        <f>ROUND((E197*5.31%),2)</f>
        <v>190.52</v>
      </c>
      <c r="R197" s="25"/>
      <c r="S197" s="27">
        <f t="shared" si="128"/>
        <v>4224.4400000000005</v>
      </c>
      <c r="T197" s="28">
        <f t="shared" si="154"/>
        <v>0</v>
      </c>
      <c r="U197" s="28">
        <f t="shared" si="155"/>
        <v>4224.4400000000005</v>
      </c>
      <c r="V197" s="28">
        <f t="shared" si="156"/>
        <v>0</v>
      </c>
      <c r="W197" s="8"/>
      <c r="X197" s="28"/>
      <c r="Y197" s="28"/>
      <c r="Z197" s="28"/>
      <c r="AA197" s="28">
        <f t="shared" si="157"/>
        <v>4224.4400000000005</v>
      </c>
      <c r="AB197" s="28">
        <f t="shared" si="158"/>
        <v>0</v>
      </c>
      <c r="AC197" s="28">
        <f t="shared" si="159"/>
        <v>4224.4400000000005</v>
      </c>
      <c r="AD197" s="28">
        <f t="shared" si="160"/>
        <v>0</v>
      </c>
      <c r="AE197" s="28">
        <f t="shared" si="161"/>
        <v>0</v>
      </c>
      <c r="AF197" s="28">
        <f t="shared" si="162"/>
        <v>0</v>
      </c>
      <c r="AG197" s="28">
        <f t="shared" si="163"/>
        <v>0</v>
      </c>
      <c r="AH197" s="28">
        <f t="shared" si="164"/>
        <v>0</v>
      </c>
    </row>
    <row r="198" spans="1:36" ht="17.399999999999999" customHeight="1" x14ac:dyDescent="0.3">
      <c r="A198" s="90" t="s">
        <v>52</v>
      </c>
      <c r="B198" s="32">
        <v>1079250</v>
      </c>
      <c r="C198" s="83" t="s">
        <v>55</v>
      </c>
      <c r="D198" s="93" t="str">
        <f t="shared" si="150"/>
        <v/>
      </c>
      <c r="E198" s="22">
        <f>ROUND(2738.74*30%,2)-0.06</f>
        <v>821.56000000000006</v>
      </c>
      <c r="F198" s="22"/>
      <c r="G198" s="24">
        <v>43798</v>
      </c>
      <c r="H198" s="24">
        <v>46188</v>
      </c>
      <c r="I198" s="46">
        <v>0.3</v>
      </c>
      <c r="J198" s="46" t="s">
        <v>257</v>
      </c>
      <c r="K198" s="123" t="s">
        <v>194</v>
      </c>
      <c r="L198" s="25">
        <v>0.80999999999994543</v>
      </c>
      <c r="M198" s="25">
        <v>2.25</v>
      </c>
      <c r="N198" s="25">
        <v>0.31</v>
      </c>
      <c r="O198" s="25">
        <v>41.32</v>
      </c>
      <c r="P198" s="25">
        <f>ROUND(((E198*6.01%)/365)*365,2)</f>
        <v>49.38</v>
      </c>
      <c r="Q198" s="25">
        <f>ROUND((E198*5.31%),2)</f>
        <v>43.62</v>
      </c>
      <c r="R198" s="25"/>
      <c r="S198" s="27">
        <f t="shared" si="128"/>
        <v>959.25</v>
      </c>
      <c r="T198" s="28">
        <f t="shared" si="154"/>
        <v>0</v>
      </c>
      <c r="U198" s="28">
        <f t="shared" si="155"/>
        <v>959.25</v>
      </c>
      <c r="V198" s="28">
        <f t="shared" si="156"/>
        <v>0</v>
      </c>
      <c r="W198" s="8"/>
      <c r="X198" s="28"/>
      <c r="Y198" s="28"/>
      <c r="Z198" s="28"/>
      <c r="AA198" s="28">
        <f t="shared" si="157"/>
        <v>959.25</v>
      </c>
      <c r="AB198" s="28">
        <f t="shared" si="158"/>
        <v>0</v>
      </c>
      <c r="AC198" s="28">
        <f t="shared" si="159"/>
        <v>959.25</v>
      </c>
      <c r="AD198" s="28">
        <f t="shared" si="160"/>
        <v>0</v>
      </c>
      <c r="AE198" s="28">
        <f t="shared" si="161"/>
        <v>0</v>
      </c>
      <c r="AF198" s="28">
        <f t="shared" si="162"/>
        <v>0</v>
      </c>
      <c r="AG198" s="28">
        <f t="shared" si="163"/>
        <v>0</v>
      </c>
      <c r="AH198" s="28">
        <f t="shared" si="164"/>
        <v>0</v>
      </c>
    </row>
    <row r="199" spans="1:36" ht="17.399999999999999" customHeight="1" x14ac:dyDescent="0.3">
      <c r="A199" s="90" t="s">
        <v>52</v>
      </c>
      <c r="B199" s="32">
        <v>1079250</v>
      </c>
      <c r="C199" s="83" t="s">
        <v>56</v>
      </c>
      <c r="D199" s="93" t="str">
        <f t="shared" si="150"/>
        <v/>
      </c>
      <c r="E199" s="22">
        <f>524.5*30%</f>
        <v>157.35</v>
      </c>
      <c r="F199" s="22"/>
      <c r="G199" s="24">
        <v>43802</v>
      </c>
      <c r="H199" s="24">
        <v>46188</v>
      </c>
      <c r="I199" s="46">
        <v>0.3</v>
      </c>
      <c r="J199" s="46" t="s">
        <v>257</v>
      </c>
      <c r="K199" s="123" t="s">
        <v>194</v>
      </c>
      <c r="L199" s="25">
        <v>0.12999999999999545</v>
      </c>
      <c r="M199" s="25">
        <v>0.43</v>
      </c>
      <c r="N199" s="25">
        <v>0.06</v>
      </c>
      <c r="O199" s="25">
        <v>7.91</v>
      </c>
      <c r="P199" s="25">
        <f>ROUND(((E199*6.01%)/365)*365,2)</f>
        <v>9.4600000000000009</v>
      </c>
      <c r="Q199" s="25">
        <f>ROUND((E199*5.31%),2)</f>
        <v>8.36</v>
      </c>
      <c r="R199" s="25"/>
      <c r="S199" s="27">
        <f t="shared" si="128"/>
        <v>183.7</v>
      </c>
      <c r="T199" s="28">
        <f t="shared" si="154"/>
        <v>0</v>
      </c>
      <c r="U199" s="28">
        <f t="shared" si="155"/>
        <v>183.7</v>
      </c>
      <c r="V199" s="28">
        <f t="shared" si="156"/>
        <v>0</v>
      </c>
      <c r="W199" s="8"/>
      <c r="X199" s="28"/>
      <c r="Y199" s="28"/>
      <c r="Z199" s="28"/>
      <c r="AA199" s="28">
        <f t="shared" si="157"/>
        <v>183.7</v>
      </c>
      <c r="AB199" s="28">
        <f t="shared" si="158"/>
        <v>0</v>
      </c>
      <c r="AC199" s="28">
        <f t="shared" si="159"/>
        <v>183.7</v>
      </c>
      <c r="AD199" s="28">
        <f t="shared" si="160"/>
        <v>0</v>
      </c>
      <c r="AE199" s="28">
        <f t="shared" si="161"/>
        <v>0</v>
      </c>
      <c r="AF199" s="28">
        <f t="shared" si="162"/>
        <v>0</v>
      </c>
      <c r="AG199" s="28">
        <f t="shared" si="163"/>
        <v>0</v>
      </c>
      <c r="AH199" s="28">
        <f t="shared" si="164"/>
        <v>0</v>
      </c>
    </row>
    <row r="200" spans="1:36" ht="17.399999999999999" customHeight="1" x14ac:dyDescent="0.3">
      <c r="A200" s="90" t="s">
        <v>52</v>
      </c>
      <c r="B200" s="32">
        <v>1079250</v>
      </c>
      <c r="C200" s="83" t="s">
        <v>57</v>
      </c>
      <c r="D200" s="93" t="str">
        <f t="shared" si="150"/>
        <v/>
      </c>
      <c r="E200" s="155">
        <v>6702.77</v>
      </c>
      <c r="F200" s="22"/>
      <c r="G200" s="24">
        <v>44186</v>
      </c>
      <c r="H200" s="24">
        <v>45945</v>
      </c>
      <c r="I200" s="46">
        <v>0.3</v>
      </c>
      <c r="J200" s="46" t="s">
        <v>206</v>
      </c>
      <c r="K200" s="123" t="s">
        <v>194</v>
      </c>
      <c r="L200" s="25"/>
      <c r="M200" s="25"/>
      <c r="N200" s="25"/>
      <c r="O200" s="25"/>
      <c r="P200" s="25"/>
      <c r="Q200" s="25"/>
      <c r="R200" s="25"/>
      <c r="S200" s="27">
        <f t="shared" si="128"/>
        <v>6702.77</v>
      </c>
      <c r="T200" s="28">
        <f t="shared" si="154"/>
        <v>0</v>
      </c>
      <c r="U200" s="28">
        <f t="shared" si="155"/>
        <v>6702.77</v>
      </c>
      <c r="V200" s="28">
        <f t="shared" si="156"/>
        <v>0</v>
      </c>
      <c r="W200" s="37"/>
      <c r="X200" s="28"/>
      <c r="Y200" s="28"/>
      <c r="Z200" s="28"/>
      <c r="AA200" s="28">
        <f t="shared" si="157"/>
        <v>6702.77</v>
      </c>
      <c r="AB200" s="28">
        <f t="shared" si="158"/>
        <v>0</v>
      </c>
      <c r="AC200" s="28">
        <f t="shared" si="159"/>
        <v>6702.77</v>
      </c>
      <c r="AD200" s="28">
        <f t="shared" si="160"/>
        <v>0</v>
      </c>
      <c r="AE200" s="28">
        <f t="shared" si="161"/>
        <v>0</v>
      </c>
      <c r="AF200" s="28">
        <f t="shared" si="162"/>
        <v>0</v>
      </c>
      <c r="AG200" s="28">
        <f t="shared" si="163"/>
        <v>0</v>
      </c>
      <c r="AH200" s="28">
        <f t="shared" si="164"/>
        <v>0</v>
      </c>
      <c r="AJ200" s="12"/>
    </row>
    <row r="201" spans="1:36" ht="17.399999999999999" customHeight="1" x14ac:dyDescent="0.3">
      <c r="A201" s="130"/>
      <c r="B201" s="131"/>
      <c r="C201" s="117"/>
      <c r="D201" s="118" t="str">
        <f t="shared" si="150"/>
        <v/>
      </c>
      <c r="E201" s="31">
        <f>SUBTOTAL(9,E195:E200)</f>
        <v>182218.08</v>
      </c>
      <c r="F201" s="31"/>
      <c r="G201" s="119"/>
      <c r="H201" s="120"/>
      <c r="I201" s="139"/>
      <c r="J201" s="139"/>
      <c r="K201" s="139"/>
      <c r="L201" s="31">
        <f t="shared" ref="L201:Q201" si="165">SUBTOTAL(9,L195:L200)</f>
        <v>2911.13</v>
      </c>
      <c r="M201" s="31">
        <f t="shared" si="165"/>
        <v>540.09999999999991</v>
      </c>
      <c r="N201" s="31">
        <f t="shared" si="165"/>
        <v>73.650000000000006</v>
      </c>
      <c r="O201" s="31">
        <f t="shared" si="165"/>
        <v>9904.1299999999992</v>
      </c>
      <c r="P201" s="31">
        <f t="shared" si="165"/>
        <v>11836.219999999998</v>
      </c>
      <c r="Q201" s="31">
        <f t="shared" si="165"/>
        <v>9319.8700000000008</v>
      </c>
      <c r="R201" s="31"/>
      <c r="S201" s="31">
        <f t="shared" si="128"/>
        <v>216803.18</v>
      </c>
      <c r="T201" s="31">
        <f>SUBTOTAL(9,T195:T200)</f>
        <v>0</v>
      </c>
      <c r="U201" s="31">
        <f>SUBTOTAL(9,U195:U200)</f>
        <v>216803.18</v>
      </c>
      <c r="V201" s="31">
        <f>SUBTOTAL(9,V195:V200)</f>
        <v>0</v>
      </c>
      <c r="W201" s="31"/>
      <c r="X201" s="31">
        <f t="shared" ref="X201:AH201" si="166">SUBTOTAL(9,X195:X200)</f>
        <v>0</v>
      </c>
      <c r="Y201" s="31">
        <f t="shared" si="166"/>
        <v>0</v>
      </c>
      <c r="Z201" s="31">
        <f t="shared" si="166"/>
        <v>0</v>
      </c>
      <c r="AA201" s="31">
        <f t="shared" si="166"/>
        <v>216803.18</v>
      </c>
      <c r="AB201" s="31">
        <f t="shared" si="166"/>
        <v>0</v>
      </c>
      <c r="AC201" s="31">
        <f t="shared" si="166"/>
        <v>216803.18</v>
      </c>
      <c r="AD201" s="31">
        <f t="shared" si="166"/>
        <v>0</v>
      </c>
      <c r="AE201" s="31">
        <f t="shared" si="166"/>
        <v>0</v>
      </c>
      <c r="AF201" s="31">
        <f t="shared" si="166"/>
        <v>0</v>
      </c>
      <c r="AG201" s="31">
        <f t="shared" si="166"/>
        <v>0</v>
      </c>
      <c r="AH201" s="31">
        <f t="shared" si="166"/>
        <v>0</v>
      </c>
      <c r="AJ201" s="12"/>
    </row>
    <row r="202" spans="1:36" ht="17.399999999999999" customHeight="1" x14ac:dyDescent="0.3">
      <c r="A202" s="90" t="s">
        <v>410</v>
      </c>
      <c r="B202" s="32">
        <v>1082133</v>
      </c>
      <c r="C202" s="83" t="s">
        <v>412</v>
      </c>
      <c r="D202" s="93"/>
      <c r="E202" s="22">
        <v>4572.8</v>
      </c>
      <c r="F202" s="22" t="s">
        <v>158</v>
      </c>
      <c r="G202" s="24">
        <v>45870</v>
      </c>
      <c r="H202" s="23">
        <v>45981</v>
      </c>
      <c r="I202" s="46">
        <v>1</v>
      </c>
      <c r="J202" s="46" t="s">
        <v>206</v>
      </c>
      <c r="K202" s="6" t="s">
        <v>204</v>
      </c>
      <c r="L202" s="25"/>
      <c r="M202" s="25"/>
      <c r="N202" s="25"/>
      <c r="O202" s="25"/>
      <c r="P202" s="25"/>
      <c r="Q202" s="25"/>
      <c r="R202" s="25"/>
      <c r="S202" s="27">
        <f t="shared" si="128"/>
        <v>4572.8</v>
      </c>
      <c r="T202" s="28">
        <f>IF(H202-$T$1&gt;365,S202,0)</f>
        <v>0</v>
      </c>
      <c r="U202" s="28">
        <f>IF(H202-$T$1&lt;365,S202,0)</f>
        <v>4572.8</v>
      </c>
      <c r="V202" s="28">
        <f>IF(H202="",S202,0)</f>
        <v>0</v>
      </c>
      <c r="W202" s="37"/>
      <c r="X202" s="28"/>
      <c r="Y202" s="28"/>
      <c r="Z202" s="28"/>
      <c r="AA202" s="28">
        <f>S202-Z202-Y202-X202</f>
        <v>4572.8</v>
      </c>
      <c r="AB202" s="28">
        <f>IF(H202-$AB$1&gt;365,AA202,0)</f>
        <v>0</v>
      </c>
      <c r="AC202" s="28">
        <f>IF(H202-$AB$1&lt;=365,AA202,0)</f>
        <v>4572.8</v>
      </c>
      <c r="AD202" s="28">
        <f>IF(H202="",AA202,0)</f>
        <v>0</v>
      </c>
      <c r="AE202" s="28">
        <f>IF(AND(H202-$AB$1&gt;365,H202-$AB$1&lt;=730),AB202,0)</f>
        <v>0</v>
      </c>
      <c r="AF202" s="28">
        <f>IF(AND(H202-$AB$1&gt;730,H202-$AB$1&lt;=1095),AB202,0)</f>
        <v>0</v>
      </c>
      <c r="AG202" s="28">
        <f>IF(AND(H202-$AB$1&gt;1095,H202-$AB$1&lt;=1825),AB202,0)</f>
        <v>0</v>
      </c>
      <c r="AH202" s="28">
        <f>IF(H202-$AB$1&gt;1825,AB202,0)</f>
        <v>0</v>
      </c>
    </row>
    <row r="203" spans="1:36" ht="17.399999999999999" customHeight="1" x14ac:dyDescent="0.3">
      <c r="A203" s="90" t="s">
        <v>410</v>
      </c>
      <c r="B203" s="32">
        <v>1082133</v>
      </c>
      <c r="C203" s="83" t="s">
        <v>411</v>
      </c>
      <c r="D203" s="93"/>
      <c r="E203" s="22">
        <v>13275.5</v>
      </c>
      <c r="F203" s="22" t="s">
        <v>158</v>
      </c>
      <c r="G203" s="24">
        <v>45841</v>
      </c>
      <c r="H203" s="23">
        <v>45996</v>
      </c>
      <c r="I203" s="46">
        <v>1</v>
      </c>
      <c r="J203" s="46" t="s">
        <v>206</v>
      </c>
      <c r="K203" s="6" t="s">
        <v>204</v>
      </c>
      <c r="L203" s="25"/>
      <c r="M203" s="25"/>
      <c r="N203" s="25"/>
      <c r="O203" s="25"/>
      <c r="P203" s="25"/>
      <c r="Q203" s="25"/>
      <c r="R203" s="25"/>
      <c r="S203" s="27">
        <f t="shared" ref="S203:S204" si="167">E203+L203+M203+N203+P203+O203+Q203+R203</f>
        <v>13275.5</v>
      </c>
      <c r="T203" s="28">
        <f>IF(H203-$T$1&gt;365,S203,0)</f>
        <v>0</v>
      </c>
      <c r="U203" s="28">
        <f>IF(H203-$T$1&lt;365,S203,0)</f>
        <v>13275.5</v>
      </c>
      <c r="V203" s="28">
        <f>IF(H203="",S203,0)</f>
        <v>0</v>
      </c>
      <c r="W203" s="37"/>
      <c r="X203" s="28"/>
      <c r="Y203" s="28"/>
      <c r="Z203" s="28"/>
      <c r="AA203" s="28">
        <f>S203-Z203-Y203-X203</f>
        <v>13275.5</v>
      </c>
      <c r="AB203" s="28">
        <f>IF(H203-$AB$1&gt;365,AA203,0)</f>
        <v>0</v>
      </c>
      <c r="AC203" s="28">
        <f>IF(H203-$AB$1&lt;=365,AA203,0)</f>
        <v>13275.5</v>
      </c>
      <c r="AD203" s="28">
        <f>IF(H203="",AA203,0)</f>
        <v>0</v>
      </c>
      <c r="AE203" s="28">
        <f>IF(AND(H203-$AB$1&gt;365,H203-$AB$1&lt;=730),AB203,0)</f>
        <v>0</v>
      </c>
      <c r="AF203" s="28">
        <f>IF(AND(H203-$AB$1&gt;730,H203-$AB$1&lt;=1095),AB203,0)</f>
        <v>0</v>
      </c>
      <c r="AG203" s="28">
        <f>IF(AND(H203-$AB$1&gt;1095,H203-$AB$1&lt;=1825),AB203,0)</f>
        <v>0</v>
      </c>
      <c r="AH203" s="28">
        <f>IF(H203-$AB$1&gt;1825,AB203,0)</f>
        <v>0</v>
      </c>
    </row>
    <row r="204" spans="1:36" ht="17.399999999999999" customHeight="1" x14ac:dyDescent="0.3">
      <c r="A204" s="115"/>
      <c r="B204" s="116"/>
      <c r="C204" s="117"/>
      <c r="D204" s="118" t="str">
        <f t="shared" ref="D204" si="168">IF(W204&gt;0,"zwrócone","")</f>
        <v/>
      </c>
      <c r="E204" s="31">
        <f>SUBTOTAL(9,E202:E203)</f>
        <v>17848.3</v>
      </c>
      <c r="F204" s="31"/>
      <c r="G204" s="119"/>
      <c r="H204" s="120"/>
      <c r="I204" s="115"/>
      <c r="J204" s="115"/>
      <c r="K204" s="115"/>
      <c r="L204" s="31">
        <f t="shared" ref="L204:V204" si="169">SUBTOTAL(9,L202:L203)</f>
        <v>0</v>
      </c>
      <c r="M204" s="31">
        <f t="shared" si="169"/>
        <v>0</v>
      </c>
      <c r="N204" s="31">
        <f t="shared" si="169"/>
        <v>0</v>
      </c>
      <c r="O204" s="31">
        <f t="shared" si="169"/>
        <v>0</v>
      </c>
      <c r="P204" s="31">
        <f t="shared" si="169"/>
        <v>0</v>
      </c>
      <c r="Q204" s="31">
        <f t="shared" si="169"/>
        <v>0</v>
      </c>
      <c r="R204" s="31"/>
      <c r="S204" s="31">
        <f t="shared" si="167"/>
        <v>17848.3</v>
      </c>
      <c r="T204" s="31">
        <f t="shared" si="169"/>
        <v>0</v>
      </c>
      <c r="U204" s="31">
        <f t="shared" si="169"/>
        <v>17848.3</v>
      </c>
      <c r="V204" s="31">
        <f t="shared" si="169"/>
        <v>0</v>
      </c>
      <c r="W204" s="31"/>
      <c r="X204" s="31">
        <f t="shared" ref="X204:AH204" si="170">SUBTOTAL(9,X202:X203)</f>
        <v>0</v>
      </c>
      <c r="Y204" s="31">
        <f t="shared" si="170"/>
        <v>0</v>
      </c>
      <c r="Z204" s="31">
        <f t="shared" si="170"/>
        <v>0</v>
      </c>
      <c r="AA204" s="31">
        <f t="shared" si="170"/>
        <v>17848.3</v>
      </c>
      <c r="AB204" s="31">
        <f t="shared" si="170"/>
        <v>0</v>
      </c>
      <c r="AC204" s="31">
        <f t="shared" si="170"/>
        <v>17848.3</v>
      </c>
      <c r="AD204" s="31">
        <f t="shared" si="170"/>
        <v>0</v>
      </c>
      <c r="AE204" s="31">
        <f t="shared" si="170"/>
        <v>0</v>
      </c>
      <c r="AF204" s="31">
        <f t="shared" si="170"/>
        <v>0</v>
      </c>
      <c r="AG204" s="31">
        <f t="shared" si="170"/>
        <v>0</v>
      </c>
      <c r="AH204" s="31">
        <f t="shared" si="170"/>
        <v>0</v>
      </c>
      <c r="AJ204" s="12"/>
    </row>
    <row r="205" spans="1:36" ht="17.399999999999999" customHeight="1" x14ac:dyDescent="0.3">
      <c r="A205" s="161" t="s">
        <v>59</v>
      </c>
      <c r="B205" s="162">
        <v>1082550</v>
      </c>
      <c r="C205" s="157" t="s">
        <v>60</v>
      </c>
      <c r="D205" s="158" t="s">
        <v>356</v>
      </c>
      <c r="E205" s="159">
        <f>1958.88-1371.22</f>
        <v>587.66000000000008</v>
      </c>
      <c r="F205" s="159"/>
      <c r="G205" s="160">
        <v>43194</v>
      </c>
      <c r="H205" s="84">
        <v>43936</v>
      </c>
      <c r="I205" s="46">
        <v>0.3</v>
      </c>
      <c r="J205" s="46" t="s">
        <v>206</v>
      </c>
      <c r="K205" s="6" t="s">
        <v>219</v>
      </c>
      <c r="L205" s="25"/>
      <c r="M205" s="25"/>
      <c r="N205" s="25"/>
      <c r="O205" s="25"/>
      <c r="P205" s="25"/>
      <c r="Q205" s="25"/>
      <c r="R205" s="25"/>
      <c r="S205" s="27">
        <f t="shared" si="128"/>
        <v>587.66000000000008</v>
      </c>
      <c r="T205" s="28">
        <f>IF(H205-$T$1&gt;365,S205,0)</f>
        <v>0</v>
      </c>
      <c r="U205" s="28">
        <f>IF(H205-$T$1&lt;365,S205,0)</f>
        <v>587.66000000000008</v>
      </c>
      <c r="V205" s="28">
        <f>IF(H205="",S205,0)</f>
        <v>0</v>
      </c>
      <c r="W205" s="37">
        <v>45688</v>
      </c>
      <c r="X205" s="28"/>
      <c r="Y205" s="28"/>
      <c r="Z205" s="28">
        <v>587.66</v>
      </c>
      <c r="AA205" s="28">
        <f>S205-Z205-Y205-X205</f>
        <v>1.1368683772161603E-13</v>
      </c>
      <c r="AB205" s="28">
        <f>IF(H205-$AB$1&gt;365,AA205,0)</f>
        <v>0</v>
      </c>
      <c r="AC205" s="28">
        <f>IF(H205-$AB$1&lt;=365,AA205,0)</f>
        <v>1.1368683772161603E-13</v>
      </c>
      <c r="AD205" s="28">
        <f>IF(H205="",AA205,0)</f>
        <v>0</v>
      </c>
      <c r="AE205" s="28">
        <f>IF(AND(H205-$AB$1&gt;365,H205-$AB$1&lt;=730),AB205,0)</f>
        <v>0</v>
      </c>
      <c r="AF205" s="28">
        <f>IF(AND(H205-$AB$1&gt;730,H205-$AB$1&lt;=1095),AB205,0)</f>
        <v>0</v>
      </c>
      <c r="AG205" s="28">
        <f>IF(AND(H205-$AB$1&gt;1095,H205-$AB$1&lt;=1825),AB205,0)</f>
        <v>0</v>
      </c>
      <c r="AH205" s="28">
        <f>IF(H205-$AB$1&gt;1825,AB205,0)</f>
        <v>0</v>
      </c>
    </row>
    <row r="206" spans="1:36" ht="17.399999999999999" customHeight="1" x14ac:dyDescent="0.3">
      <c r="A206" s="130"/>
      <c r="B206" s="131"/>
      <c r="C206" s="117"/>
      <c r="D206" s="118" t="str">
        <f t="shared" si="150"/>
        <v/>
      </c>
      <c r="E206" s="31">
        <f>SUBTOTAL(9,E205)</f>
        <v>587.66000000000008</v>
      </c>
      <c r="F206" s="31"/>
      <c r="G206" s="119"/>
      <c r="H206" s="120"/>
      <c r="I206" s="115"/>
      <c r="J206" s="115"/>
      <c r="K206" s="115"/>
      <c r="L206" s="31">
        <f t="shared" ref="L206:Q206" si="171">SUBTOTAL(9,L205)</f>
        <v>0</v>
      </c>
      <c r="M206" s="31">
        <f t="shared" si="171"/>
        <v>0</v>
      </c>
      <c r="N206" s="31">
        <f t="shared" si="171"/>
        <v>0</v>
      </c>
      <c r="O206" s="31">
        <f t="shared" si="171"/>
        <v>0</v>
      </c>
      <c r="P206" s="31">
        <f t="shared" si="171"/>
        <v>0</v>
      </c>
      <c r="Q206" s="31">
        <f t="shared" si="171"/>
        <v>0</v>
      </c>
      <c r="R206" s="31"/>
      <c r="S206" s="31">
        <f t="shared" si="128"/>
        <v>587.66000000000008</v>
      </c>
      <c r="T206" s="31">
        <f>SUBTOTAL(9,T205)</f>
        <v>0</v>
      </c>
      <c r="U206" s="31">
        <f>SUBTOTAL(9,U205)</f>
        <v>587.66000000000008</v>
      </c>
      <c r="V206" s="31">
        <f>SUBTOTAL(9,V205)</f>
        <v>0</v>
      </c>
      <c r="W206" s="31"/>
      <c r="X206" s="31">
        <f t="shared" ref="X206:AH206" si="172">SUBTOTAL(9,X205)</f>
        <v>0</v>
      </c>
      <c r="Y206" s="31">
        <f t="shared" si="172"/>
        <v>0</v>
      </c>
      <c r="Z206" s="31">
        <f t="shared" si="172"/>
        <v>587.66</v>
      </c>
      <c r="AA206" s="31">
        <f t="shared" si="172"/>
        <v>1.1368683772161603E-13</v>
      </c>
      <c r="AB206" s="31">
        <f t="shared" si="172"/>
        <v>0</v>
      </c>
      <c r="AC206" s="31">
        <f t="shared" si="172"/>
        <v>1.1368683772161603E-13</v>
      </c>
      <c r="AD206" s="31">
        <f t="shared" si="172"/>
        <v>0</v>
      </c>
      <c r="AE206" s="31">
        <f t="shared" si="172"/>
        <v>0</v>
      </c>
      <c r="AF206" s="31">
        <f t="shared" si="172"/>
        <v>0</v>
      </c>
      <c r="AG206" s="31">
        <f t="shared" si="172"/>
        <v>0</v>
      </c>
      <c r="AH206" s="31">
        <f t="shared" si="172"/>
        <v>0</v>
      </c>
      <c r="AJ206" s="12"/>
    </row>
    <row r="207" spans="1:36" ht="23.4" customHeight="1" x14ac:dyDescent="0.3">
      <c r="A207" s="90" t="s">
        <v>318</v>
      </c>
      <c r="B207" s="32">
        <v>1085471</v>
      </c>
      <c r="C207" s="83" t="s">
        <v>148</v>
      </c>
      <c r="D207" s="93" t="str">
        <f t="shared" si="150"/>
        <v/>
      </c>
      <c r="E207" s="22">
        <v>553.61</v>
      </c>
      <c r="F207" s="22"/>
      <c r="G207" s="24">
        <v>44853</v>
      </c>
      <c r="H207" s="23">
        <v>46736</v>
      </c>
      <c r="I207" s="46">
        <v>0.3</v>
      </c>
      <c r="J207" s="46" t="s">
        <v>257</v>
      </c>
      <c r="K207" s="123" t="s">
        <v>194</v>
      </c>
      <c r="L207" s="25"/>
      <c r="M207" s="25"/>
      <c r="N207" s="25"/>
      <c r="O207" s="25">
        <v>6.99</v>
      </c>
      <c r="P207" s="25">
        <f>ROUND(((E207*6.01%)/365)*365,2)</f>
        <v>33.270000000000003</v>
      </c>
      <c r="Q207" s="25">
        <f>ROUND((E207*5.31%),2)</f>
        <v>29.4</v>
      </c>
      <c r="R207" s="25"/>
      <c r="S207" s="27">
        <f t="shared" si="128"/>
        <v>623.27</v>
      </c>
      <c r="T207" s="28"/>
      <c r="U207" s="28"/>
      <c r="V207" s="28"/>
      <c r="W207" s="8"/>
      <c r="X207" s="28"/>
      <c r="Y207" s="28"/>
      <c r="Z207" s="28"/>
      <c r="AA207" s="28">
        <f>S207-Z207-Y207-X207</f>
        <v>623.27</v>
      </c>
      <c r="AB207" s="28">
        <f>IF(H207-$AB$1&gt;365,AA207,0)</f>
        <v>623.27</v>
      </c>
      <c r="AC207" s="28">
        <f>IF(H207-$AB$1&lt;=365,AA207,0)</f>
        <v>0</v>
      </c>
      <c r="AD207" s="28">
        <f>IF(H207="",AA207,0)</f>
        <v>0</v>
      </c>
      <c r="AE207" s="28">
        <f>IF(AND(H207-$AB$1&gt;365,H207-$AB$1&lt;=730),AB207,0)</f>
        <v>0</v>
      </c>
      <c r="AF207" s="28">
        <f>IF(AND(H207-$AB$1&gt;730,H207-$AB$1&lt;=1095),AB207,0)</f>
        <v>623.27</v>
      </c>
      <c r="AG207" s="28">
        <f>IF(AND(H207-$AB$1&gt;1095,H207-$AB$1&lt;=1825),AB207,0)</f>
        <v>0</v>
      </c>
      <c r="AH207" s="28">
        <f>IF(H207-$AB$1&gt;1825,AB207,0)</f>
        <v>0</v>
      </c>
    </row>
    <row r="208" spans="1:36" ht="23.4" customHeight="1" x14ac:dyDescent="0.3">
      <c r="A208" s="90" t="s">
        <v>318</v>
      </c>
      <c r="B208" s="32">
        <v>1085471</v>
      </c>
      <c r="C208" s="83" t="s">
        <v>387</v>
      </c>
      <c r="D208" s="93" t="str">
        <f t="shared" si="150"/>
        <v/>
      </c>
      <c r="E208" s="22">
        <v>4931.3599999999997</v>
      </c>
      <c r="F208" s="22"/>
      <c r="G208" s="24">
        <v>45793</v>
      </c>
      <c r="H208" s="23">
        <v>45960</v>
      </c>
      <c r="I208" s="46"/>
      <c r="J208" s="46" t="s">
        <v>206</v>
      </c>
      <c r="K208" s="123" t="s">
        <v>388</v>
      </c>
      <c r="L208" s="25"/>
      <c r="M208" s="25"/>
      <c r="N208" s="25"/>
      <c r="O208" s="25"/>
      <c r="P208" s="25"/>
      <c r="Q208" s="25"/>
      <c r="R208" s="25"/>
      <c r="S208" s="27">
        <f t="shared" si="128"/>
        <v>4931.3599999999997</v>
      </c>
      <c r="T208" s="28"/>
      <c r="U208" s="28"/>
      <c r="V208" s="28"/>
      <c r="W208" s="8"/>
      <c r="X208" s="28"/>
      <c r="Y208" s="28"/>
      <c r="Z208" s="28"/>
      <c r="AA208" s="28">
        <f>S208-Z208-Y208-X208</f>
        <v>4931.3599999999997</v>
      </c>
      <c r="AB208" s="28">
        <f>IF(H208-$AB$1&gt;365,AA208,0)</f>
        <v>0</v>
      </c>
      <c r="AC208" s="28">
        <f>IF(H208-$AB$1&lt;=365,AA208,0)</f>
        <v>4931.3599999999997</v>
      </c>
      <c r="AD208" s="28">
        <f>IF(H208="",AA208,0)</f>
        <v>0</v>
      </c>
      <c r="AE208" s="28">
        <f>IF(AND(H208-$AB$1&gt;365,H208-$AB$1&lt;=730),AB208,0)</f>
        <v>0</v>
      </c>
      <c r="AF208" s="28">
        <f>IF(AND(H208-$AB$1&gt;730,H208-$AB$1&lt;=1095),AB208,0)</f>
        <v>0</v>
      </c>
      <c r="AG208" s="28">
        <f>IF(AND(H208-$AB$1&gt;1095,H208-$AB$1&lt;=1825),AB208,0)</f>
        <v>0</v>
      </c>
      <c r="AH208" s="28">
        <f>IF(H208-$AB$1&gt;1825,AB208,0)</f>
        <v>0</v>
      </c>
    </row>
    <row r="209" spans="1:36" ht="23.4" customHeight="1" x14ac:dyDescent="0.3">
      <c r="A209" s="90" t="s">
        <v>318</v>
      </c>
      <c r="B209" s="32">
        <v>1085471</v>
      </c>
      <c r="C209" s="83" t="s">
        <v>387</v>
      </c>
      <c r="D209" s="93"/>
      <c r="E209" s="22">
        <v>2113.44</v>
      </c>
      <c r="F209" s="22"/>
      <c r="G209" s="24">
        <v>45793</v>
      </c>
      <c r="H209" s="23">
        <v>46325</v>
      </c>
      <c r="I209" s="46"/>
      <c r="J209" s="46" t="s">
        <v>206</v>
      </c>
      <c r="K209" s="123" t="s">
        <v>388</v>
      </c>
      <c r="L209" s="25"/>
      <c r="M209" s="25"/>
      <c r="N209" s="25"/>
      <c r="O209" s="25"/>
      <c r="P209" s="25"/>
      <c r="Q209" s="25"/>
      <c r="R209" s="25"/>
      <c r="S209" s="27">
        <f t="shared" si="128"/>
        <v>2113.44</v>
      </c>
      <c r="T209" s="28"/>
      <c r="U209" s="28"/>
      <c r="V209" s="28"/>
      <c r="W209" s="8"/>
      <c r="X209" s="28"/>
      <c r="Y209" s="28"/>
      <c r="Z209" s="28"/>
      <c r="AA209" s="28">
        <f>S209-Z209-Y209-X209</f>
        <v>2113.44</v>
      </c>
      <c r="AB209" s="28">
        <f>IF(H209-$AB$1&gt;365,AA209,0)</f>
        <v>2113.44</v>
      </c>
      <c r="AC209" s="28">
        <f>IF(H209-$AB$1&lt;=365,AA209,0)</f>
        <v>0</v>
      </c>
      <c r="AD209" s="28">
        <f>IF(H209="",AA209,0)</f>
        <v>0</v>
      </c>
      <c r="AE209" s="28">
        <f>IF(AND(H209-$AB$1&gt;365,H209-$AB$1&lt;=730),AB209,0)</f>
        <v>2113.44</v>
      </c>
      <c r="AF209" s="28">
        <f>IF(AND(H209-$AB$1&gt;730,H209-$AB$1&lt;=1095),AB209,0)</f>
        <v>0</v>
      </c>
      <c r="AG209" s="28">
        <f>IF(AND(H209-$AB$1&gt;1095,H209-$AB$1&lt;=1825),AB209,0)</f>
        <v>0</v>
      </c>
      <c r="AH209" s="28">
        <f>IF(H209-$AB$1&gt;1825,AB209,0)</f>
        <v>0</v>
      </c>
    </row>
    <row r="210" spans="1:36" ht="23.4" customHeight="1" x14ac:dyDescent="0.3">
      <c r="A210" s="161" t="s">
        <v>318</v>
      </c>
      <c r="B210" s="162">
        <v>1085471</v>
      </c>
      <c r="C210" s="157" t="s">
        <v>360</v>
      </c>
      <c r="D210" s="158" t="str">
        <f t="shared" si="150"/>
        <v>zwrócone</v>
      </c>
      <c r="E210" s="159">
        <v>4896</v>
      </c>
      <c r="F210" s="159"/>
      <c r="G210" s="160">
        <v>45721</v>
      </c>
      <c r="H210" s="84">
        <v>45807</v>
      </c>
      <c r="I210" s="46">
        <v>1</v>
      </c>
      <c r="J210" s="46" t="s">
        <v>206</v>
      </c>
      <c r="K210" s="123" t="s">
        <v>388</v>
      </c>
      <c r="L210" s="25"/>
      <c r="M210" s="25"/>
      <c r="N210" s="25"/>
      <c r="O210" s="25"/>
      <c r="P210" s="25"/>
      <c r="Q210" s="25"/>
      <c r="R210" s="25"/>
      <c r="S210" s="27">
        <f t="shared" si="128"/>
        <v>4896</v>
      </c>
      <c r="T210" s="28"/>
      <c r="U210" s="28"/>
      <c r="V210" s="28"/>
      <c r="W210" s="37">
        <v>45804</v>
      </c>
      <c r="X210" s="28"/>
      <c r="Y210" s="28"/>
      <c r="Z210" s="28">
        <v>4896</v>
      </c>
      <c r="AA210" s="28">
        <f>S210-Z210-Y210-X210</f>
        <v>0</v>
      </c>
      <c r="AB210" s="28">
        <f>IF(H210-$AB$1&gt;365,AA210,0)</f>
        <v>0</v>
      </c>
      <c r="AC210" s="28">
        <f>IF(H210-$AB$1&lt;=365,AA210,0)</f>
        <v>0</v>
      </c>
      <c r="AD210" s="28">
        <f>IF(H210="",AA210,0)</f>
        <v>0</v>
      </c>
      <c r="AE210" s="28">
        <f>IF(AND(H210-$AB$1&gt;365,H210-$AB$1&lt;=730),AB210,0)</f>
        <v>0</v>
      </c>
      <c r="AF210" s="28">
        <f>IF(AND(H210-$AB$1&gt;730,H210-$AB$1&lt;=1095),AB210,0)</f>
        <v>0</v>
      </c>
      <c r="AG210" s="28">
        <f>IF(AND(H210-$AB$1&gt;1095,H210-$AB$1&lt;=1825),AB210,0)</f>
        <v>0</v>
      </c>
      <c r="AH210" s="28">
        <f>IF(H210-$AB$1&gt;1825,AB210,0)</f>
        <v>0</v>
      </c>
    </row>
    <row r="211" spans="1:36" ht="16.95" customHeight="1" x14ac:dyDescent="0.3">
      <c r="A211" s="130"/>
      <c r="B211" s="131"/>
      <c r="C211" s="117"/>
      <c r="D211" s="118" t="str">
        <f>IF(W211&gt;0,"zwrócone","")</f>
        <v/>
      </c>
      <c r="E211" s="31">
        <f>SUBTOTAL(9,E207:E210)</f>
        <v>12494.41</v>
      </c>
      <c r="F211" s="31"/>
      <c r="G211" s="119"/>
      <c r="H211" s="120"/>
      <c r="I211" s="115"/>
      <c r="J211" s="115"/>
      <c r="K211" s="115"/>
      <c r="L211" s="31">
        <f>SUBTOTAL(9,L207:L210)</f>
        <v>0</v>
      </c>
      <c r="M211" s="31">
        <f t="shared" ref="M211:AH211" si="173">SUBTOTAL(9,M207:M210)</f>
        <v>0</v>
      </c>
      <c r="N211" s="31">
        <f t="shared" si="173"/>
        <v>0</v>
      </c>
      <c r="O211" s="31">
        <f t="shared" si="173"/>
        <v>6.99</v>
      </c>
      <c r="P211" s="31">
        <f t="shared" si="173"/>
        <v>33.270000000000003</v>
      </c>
      <c r="Q211" s="31">
        <f t="shared" si="173"/>
        <v>29.4</v>
      </c>
      <c r="R211" s="31">
        <f t="shared" si="173"/>
        <v>0</v>
      </c>
      <c r="S211" s="31">
        <f t="shared" si="173"/>
        <v>12564.07</v>
      </c>
      <c r="T211" s="31">
        <f t="shared" si="173"/>
        <v>0</v>
      </c>
      <c r="U211" s="31">
        <f t="shared" si="173"/>
        <v>0</v>
      </c>
      <c r="V211" s="31">
        <f t="shared" si="173"/>
        <v>0</v>
      </c>
      <c r="W211" s="31"/>
      <c r="X211" s="31">
        <f t="shared" si="173"/>
        <v>0</v>
      </c>
      <c r="Y211" s="31">
        <f t="shared" si="173"/>
        <v>0</v>
      </c>
      <c r="Z211" s="31">
        <f t="shared" si="173"/>
        <v>4896</v>
      </c>
      <c r="AA211" s="31">
        <f t="shared" si="173"/>
        <v>7668.07</v>
      </c>
      <c r="AB211" s="31">
        <f t="shared" si="173"/>
        <v>2736.71</v>
      </c>
      <c r="AC211" s="31">
        <f t="shared" si="173"/>
        <v>4931.3599999999997</v>
      </c>
      <c r="AD211" s="31">
        <f t="shared" si="173"/>
        <v>0</v>
      </c>
      <c r="AE211" s="31">
        <f t="shared" si="173"/>
        <v>2113.44</v>
      </c>
      <c r="AF211" s="31">
        <f t="shared" si="173"/>
        <v>623.27</v>
      </c>
      <c r="AG211" s="31">
        <f t="shared" si="173"/>
        <v>0</v>
      </c>
      <c r="AH211" s="31">
        <f t="shared" si="173"/>
        <v>0</v>
      </c>
      <c r="AJ211" s="12"/>
    </row>
    <row r="212" spans="1:36" ht="16.95" customHeight="1" x14ac:dyDescent="0.3">
      <c r="A212" s="85" t="s">
        <v>61</v>
      </c>
      <c r="B212" s="183">
        <v>1107111</v>
      </c>
      <c r="C212" s="157" t="s">
        <v>285</v>
      </c>
      <c r="D212" s="158" t="str">
        <f t="shared" ref="D212:D232" si="174">IF(W212&gt;0,"zwrócone","")</f>
        <v>zwrócone</v>
      </c>
      <c r="E212" s="159">
        <v>16909.599999999999</v>
      </c>
      <c r="F212" s="159"/>
      <c r="G212" s="160">
        <v>45296</v>
      </c>
      <c r="H212" s="84">
        <v>45777</v>
      </c>
      <c r="I212" s="46">
        <v>1</v>
      </c>
      <c r="J212" s="46" t="s">
        <v>206</v>
      </c>
      <c r="K212" s="6" t="s">
        <v>355</v>
      </c>
      <c r="L212" s="25"/>
      <c r="M212" s="25"/>
      <c r="N212" s="25"/>
      <c r="O212" s="53"/>
      <c r="P212" s="25"/>
      <c r="Q212" s="25"/>
      <c r="R212" s="25"/>
      <c r="S212" s="27">
        <f t="shared" si="128"/>
        <v>16909.599999999999</v>
      </c>
      <c r="T212" s="28"/>
      <c r="U212" s="28"/>
      <c r="V212" s="28"/>
      <c r="W212" s="37">
        <v>45777</v>
      </c>
      <c r="X212" s="28"/>
      <c r="Y212" s="28"/>
      <c r="Z212" s="28">
        <v>16909.599999999999</v>
      </c>
      <c r="AA212" s="28">
        <f>S212-Z212-Y212-X212</f>
        <v>0</v>
      </c>
      <c r="AB212" s="28">
        <f>IF(H212-$AB$1&gt;365,AA212,0)</f>
        <v>0</v>
      </c>
      <c r="AC212" s="28">
        <f>IF(H212-$AB$1&lt;=365,AA212,0)</f>
        <v>0</v>
      </c>
      <c r="AD212" s="28">
        <f>IF(H212="",AA212,0)</f>
        <v>0</v>
      </c>
      <c r="AE212" s="28">
        <f>IF(AND(H212-$AB$1&gt;365,H212-$AB$1&lt;=730),AB212,0)</f>
        <v>0</v>
      </c>
      <c r="AF212" s="28">
        <f>IF(AND(H212-$AB$1&gt;730,H212-$AB$1&lt;=1095),AB212,0)</f>
        <v>0</v>
      </c>
      <c r="AG212" s="28">
        <f>IF(AND(H212-$AB$1&gt;1095,H212-$AB$1&lt;=1825),AB212,0)</f>
        <v>0</v>
      </c>
      <c r="AH212" s="28">
        <f>IF(H212-$AB$1&gt;1825,AB212,0)</f>
        <v>0</v>
      </c>
      <c r="AJ212" s="12"/>
    </row>
    <row r="213" spans="1:36" ht="16.95" customHeight="1" x14ac:dyDescent="0.3">
      <c r="A213" s="6" t="s">
        <v>61</v>
      </c>
      <c r="B213" s="20">
        <v>1107111</v>
      </c>
      <c r="C213" s="83" t="s">
        <v>354</v>
      </c>
      <c r="D213" s="93"/>
      <c r="E213" s="22">
        <v>23875.49</v>
      </c>
      <c r="F213" s="22"/>
      <c r="G213" s="24">
        <v>45691</v>
      </c>
      <c r="H213" s="23">
        <v>46507</v>
      </c>
      <c r="I213" s="46">
        <v>1</v>
      </c>
      <c r="J213" s="46" t="s">
        <v>206</v>
      </c>
      <c r="K213" s="6" t="s">
        <v>355</v>
      </c>
      <c r="L213" s="25"/>
      <c r="M213" s="25"/>
      <c r="N213" s="25"/>
      <c r="O213" s="53"/>
      <c r="P213" s="25"/>
      <c r="Q213" s="25"/>
      <c r="R213" s="25"/>
      <c r="S213" s="27">
        <f t="shared" si="128"/>
        <v>23875.49</v>
      </c>
      <c r="T213" s="28"/>
      <c r="U213" s="28"/>
      <c r="V213" s="28"/>
      <c r="W213" s="37"/>
      <c r="X213" s="28"/>
      <c r="Y213" s="28"/>
      <c r="Z213" s="28"/>
      <c r="AA213" s="28">
        <f>S213-Z213-Y213-X213</f>
        <v>23875.49</v>
      </c>
      <c r="AB213" s="28">
        <f>IF(H213-$AB$1&gt;365,AA213,0)</f>
        <v>23875.49</v>
      </c>
      <c r="AC213" s="28">
        <f>IF(H213-$AB$1&lt;=365,AA213,0)</f>
        <v>0</v>
      </c>
      <c r="AD213" s="28">
        <f>IF(H213="",AA213,0)</f>
        <v>0</v>
      </c>
      <c r="AE213" s="28">
        <f>IF(AND(H213-$AB$1&gt;365,H213-$AB$1&lt;=730),AB213,0)</f>
        <v>23875.49</v>
      </c>
      <c r="AF213" s="28">
        <f>IF(AND(H213-$AB$1&gt;730,H213-$AB$1&lt;=1095),AB213,0)</f>
        <v>0</v>
      </c>
      <c r="AG213" s="28">
        <f>IF(AND(H213-$AB$1&gt;1095,H213-$AB$1&lt;=1825),AB213,0)</f>
        <v>0</v>
      </c>
      <c r="AH213" s="28">
        <f>IF(H213-$AB$1&gt;1825,AB213,0)</f>
        <v>0</v>
      </c>
      <c r="AJ213" s="12"/>
    </row>
    <row r="214" spans="1:36" ht="16.95" customHeight="1" x14ac:dyDescent="0.3">
      <c r="A214" s="115"/>
      <c r="B214" s="116"/>
      <c r="C214" s="117"/>
      <c r="D214" s="118" t="str">
        <f t="shared" si="174"/>
        <v/>
      </c>
      <c r="E214" s="31">
        <f>SUBTOTAL(9,E212:E213)</f>
        <v>40785.089999999997</v>
      </c>
      <c r="F214" s="31"/>
      <c r="G214" s="119"/>
      <c r="H214" s="120"/>
      <c r="I214" s="115"/>
      <c r="J214" s="115"/>
      <c r="K214" s="115"/>
      <c r="L214" s="31">
        <f>SUBTOTAL(9,L212:L213)</f>
        <v>0</v>
      </c>
      <c r="M214" s="31">
        <f t="shared" ref="M214:AH214" si="175">SUBTOTAL(9,M212:M213)</f>
        <v>0</v>
      </c>
      <c r="N214" s="31">
        <f t="shared" si="175"/>
        <v>0</v>
      </c>
      <c r="O214" s="31">
        <f t="shared" si="175"/>
        <v>0</v>
      </c>
      <c r="P214" s="31">
        <f t="shared" si="175"/>
        <v>0</v>
      </c>
      <c r="Q214" s="31">
        <f t="shared" si="175"/>
        <v>0</v>
      </c>
      <c r="R214" s="31"/>
      <c r="S214" s="31">
        <f t="shared" si="128"/>
        <v>40785.089999999997</v>
      </c>
      <c r="T214" s="31">
        <f t="shared" si="175"/>
        <v>0</v>
      </c>
      <c r="U214" s="31">
        <f t="shared" si="175"/>
        <v>0</v>
      </c>
      <c r="V214" s="31">
        <f t="shared" si="175"/>
        <v>0</v>
      </c>
      <c r="W214" s="31"/>
      <c r="X214" s="31">
        <f t="shared" si="175"/>
        <v>0</v>
      </c>
      <c r="Y214" s="31">
        <f t="shared" si="175"/>
        <v>0</v>
      </c>
      <c r="Z214" s="31">
        <f t="shared" si="175"/>
        <v>16909.599999999999</v>
      </c>
      <c r="AA214" s="31">
        <f t="shared" si="175"/>
        <v>23875.49</v>
      </c>
      <c r="AB214" s="31">
        <f t="shared" si="175"/>
        <v>23875.49</v>
      </c>
      <c r="AC214" s="31">
        <f t="shared" si="175"/>
        <v>0</v>
      </c>
      <c r="AD214" s="31">
        <f t="shared" si="175"/>
        <v>0</v>
      </c>
      <c r="AE214" s="31">
        <f t="shared" si="175"/>
        <v>23875.49</v>
      </c>
      <c r="AF214" s="31">
        <f t="shared" si="175"/>
        <v>0</v>
      </c>
      <c r="AG214" s="31">
        <f t="shared" si="175"/>
        <v>0</v>
      </c>
      <c r="AH214" s="31">
        <f t="shared" si="175"/>
        <v>0</v>
      </c>
      <c r="AJ214" s="12"/>
    </row>
    <row r="215" spans="1:36" ht="20.399999999999999" x14ac:dyDescent="0.3">
      <c r="A215" s="6" t="s">
        <v>63</v>
      </c>
      <c r="B215" s="83">
        <v>1108720</v>
      </c>
      <c r="C215" s="83" t="s">
        <v>62</v>
      </c>
      <c r="D215" s="93" t="str">
        <f t="shared" si="174"/>
        <v/>
      </c>
      <c r="E215" s="22">
        <f>ROUND(4884.48*30%,2)</f>
        <v>1465.34</v>
      </c>
      <c r="F215" s="22"/>
      <c r="G215" s="24">
        <v>44103</v>
      </c>
      <c r="H215" s="23">
        <v>45964</v>
      </c>
      <c r="I215" s="46">
        <v>0.3</v>
      </c>
      <c r="J215" s="46" t="s">
        <v>257</v>
      </c>
      <c r="K215" s="6" t="s">
        <v>204</v>
      </c>
      <c r="L215" s="25"/>
      <c r="M215" s="25"/>
      <c r="N215" s="25"/>
      <c r="O215" s="25">
        <v>73.69</v>
      </c>
      <c r="P215" s="25">
        <f>ROUND(((E215*6.01%)/365)*365,2)</f>
        <v>88.07</v>
      </c>
      <c r="Q215" s="25">
        <f>ROUND((E215*5.31%),2)</f>
        <v>77.81</v>
      </c>
      <c r="R215" s="25"/>
      <c r="S215" s="27">
        <f t="shared" si="128"/>
        <v>1704.9099999999999</v>
      </c>
      <c r="T215" s="28">
        <f>IF(H215-$T$1&gt;365,S215,0)</f>
        <v>0</v>
      </c>
      <c r="U215" s="28">
        <f>IF(H215-$T$1&lt;365,S215,0)</f>
        <v>1704.9099999999999</v>
      </c>
      <c r="V215" s="28">
        <f>IF(H215="",S215,0)</f>
        <v>0</v>
      </c>
      <c r="W215" s="8"/>
      <c r="X215" s="28"/>
      <c r="Y215" s="28"/>
      <c r="Z215" s="28"/>
      <c r="AA215" s="28">
        <f>S215-Z215-Y215-X215</f>
        <v>1704.9099999999999</v>
      </c>
      <c r="AB215" s="28">
        <f>IF(H215-$AB$1&gt;365,AA215,0)</f>
        <v>0</v>
      </c>
      <c r="AC215" s="28">
        <f>IF(H215-$AB$1&lt;=365,AA215,0)</f>
        <v>1704.9099999999999</v>
      </c>
      <c r="AD215" s="28">
        <f>IF(H215="",AA215,0)</f>
        <v>0</v>
      </c>
      <c r="AE215" s="28">
        <f>IF(AND(H215-$AB$1&gt;365,H215-$AB$1&lt;=730),AB215,0)</f>
        <v>0</v>
      </c>
      <c r="AF215" s="28">
        <f>IF(AND(H215-$AB$1&gt;730,H215-$AB$1&lt;=1095),AB215,0)</f>
        <v>0</v>
      </c>
      <c r="AG215" s="28">
        <f>IF(AND(H215-$AB$1&gt;1095,H215-$AB$1&lt;=1825),AB215,0)</f>
        <v>0</v>
      </c>
      <c r="AH215" s="28">
        <f>IF(H215-$AB$1&gt;1825,AB215,0)</f>
        <v>0</v>
      </c>
    </row>
    <row r="216" spans="1:36" ht="20.399999999999999" x14ac:dyDescent="0.3">
      <c r="A216" s="85" t="s">
        <v>63</v>
      </c>
      <c r="B216" s="157">
        <v>1108720</v>
      </c>
      <c r="C216" s="157" t="s">
        <v>256</v>
      </c>
      <c r="D216" s="158" t="str">
        <f t="shared" si="174"/>
        <v>zwrócone</v>
      </c>
      <c r="E216" s="159">
        <f>5430+1084.5</f>
        <v>6514.5</v>
      </c>
      <c r="F216" s="159" t="s">
        <v>158</v>
      </c>
      <c r="G216" s="160" t="s">
        <v>263</v>
      </c>
      <c r="H216" s="84">
        <v>45686</v>
      </c>
      <c r="I216" s="46">
        <v>0.3</v>
      </c>
      <c r="J216" s="46" t="s">
        <v>257</v>
      </c>
      <c r="K216" s="6" t="s">
        <v>194</v>
      </c>
      <c r="L216" s="25"/>
      <c r="M216" s="25"/>
      <c r="N216" s="25"/>
      <c r="O216" s="25"/>
      <c r="P216" s="25">
        <f>ROUND(((12670*5.26%)/365)*87,2)+ROUND(((2530.5*5.2%)/365)*48,2)</f>
        <v>176.15</v>
      </c>
      <c r="Q216" s="25">
        <f>ROUND((E216*5.31%),2)</f>
        <v>345.92</v>
      </c>
      <c r="R216" s="25">
        <f>ROUND(((E216*5.37%)/365)*61,2)</f>
        <v>58.46</v>
      </c>
      <c r="S216" s="27">
        <f t="shared" si="128"/>
        <v>7095.03</v>
      </c>
      <c r="T216" s="28"/>
      <c r="U216" s="28"/>
      <c r="V216" s="28"/>
      <c r="W216" s="37">
        <v>45719</v>
      </c>
      <c r="X216" s="28">
        <v>522.07000000000005</v>
      </c>
      <c r="Y216" s="28">
        <v>58.46</v>
      </c>
      <c r="Z216" s="28">
        <v>6514.5</v>
      </c>
      <c r="AA216" s="28">
        <f>S216-Z216-Y216-X216</f>
        <v>0</v>
      </c>
      <c r="AB216" s="28">
        <f>IF(H216-$AB$1&gt;365,AA216,0)</f>
        <v>0</v>
      </c>
      <c r="AC216" s="28">
        <f>IF(H216-$AB$1&lt;=365,AA216,0)</f>
        <v>0</v>
      </c>
      <c r="AD216" s="28">
        <f>IF(H216="",AA216,0)</f>
        <v>0</v>
      </c>
      <c r="AE216" s="28">
        <f>IF(AND(H216-$AB$1&gt;365,H216-$AB$1&lt;=730),AB216,0)</f>
        <v>0</v>
      </c>
      <c r="AF216" s="28">
        <f>IF(AND(H216-$AB$1&gt;730,H216-$AB$1&lt;=1095),AB216,0)</f>
        <v>0</v>
      </c>
      <c r="AG216" s="28">
        <f>IF(AND(H216-$AB$1&gt;1095,H216-$AB$1&lt;=1825),AB216,0)</f>
        <v>0</v>
      </c>
      <c r="AH216" s="28">
        <f>IF(H216-$AB$1&gt;1825,AB216,0)</f>
        <v>0</v>
      </c>
    </row>
    <row r="217" spans="1:36" ht="20.399999999999999" customHeight="1" x14ac:dyDescent="0.3">
      <c r="A217" s="6" t="s">
        <v>63</v>
      </c>
      <c r="B217" s="83">
        <v>1108720</v>
      </c>
      <c r="C217" s="83" t="s">
        <v>297</v>
      </c>
      <c r="D217" s="93" t="str">
        <f t="shared" si="174"/>
        <v/>
      </c>
      <c r="E217" s="22">
        <v>522</v>
      </c>
      <c r="F217" s="156" t="s">
        <v>160</v>
      </c>
      <c r="G217" s="24">
        <v>45363</v>
      </c>
      <c r="H217" s="23">
        <v>46586</v>
      </c>
      <c r="I217" s="46">
        <v>0.3</v>
      </c>
      <c r="J217" s="46" t="s">
        <v>206</v>
      </c>
      <c r="K217" s="6" t="s">
        <v>194</v>
      </c>
      <c r="L217" s="25"/>
      <c r="M217" s="25"/>
      <c r="N217" s="25"/>
      <c r="O217" s="25"/>
      <c r="P217" s="25"/>
      <c r="Q217" s="25"/>
      <c r="R217" s="25"/>
      <c r="S217" s="27">
        <f t="shared" si="128"/>
        <v>522</v>
      </c>
      <c r="T217" s="28"/>
      <c r="U217" s="28"/>
      <c r="V217" s="28"/>
      <c r="W217" s="8"/>
      <c r="X217" s="28"/>
      <c r="Y217" s="28"/>
      <c r="Z217" s="28"/>
      <c r="AA217" s="28">
        <f>S217-Z217-Y217-X217</f>
        <v>522</v>
      </c>
      <c r="AB217" s="28">
        <f>IF(H217-$AB$1&gt;365,AA217,0)</f>
        <v>522</v>
      </c>
      <c r="AC217" s="28">
        <f>IF(H217-$AB$1&lt;=365,AA217,0)</f>
        <v>0</v>
      </c>
      <c r="AD217" s="28">
        <f>IF(H217="",AA217,0)</f>
        <v>0</v>
      </c>
      <c r="AE217" s="28">
        <f>IF(AND(H217-$AB$1&gt;365,H217-$AB$1&lt;=730),AB217,0)</f>
        <v>522</v>
      </c>
      <c r="AF217" s="28">
        <f>IF(AND(H217-$AB$1&gt;730,H217-$AB$1&lt;=1095),AB217,0)</f>
        <v>0</v>
      </c>
      <c r="AG217" s="28">
        <f>IF(AND(H217-$AB$1&gt;1095,H217-$AB$1&lt;=1825),AB217,0)</f>
        <v>0</v>
      </c>
      <c r="AH217" s="28">
        <f>IF(H217-$AB$1&gt;1825,AB217,0)</f>
        <v>0</v>
      </c>
      <c r="AJ217" s="12"/>
    </row>
    <row r="218" spans="1:36" ht="20.399999999999999" x14ac:dyDescent="0.3">
      <c r="A218" s="6" t="s">
        <v>63</v>
      </c>
      <c r="B218" s="83">
        <v>1108720</v>
      </c>
      <c r="C218" s="83" t="s">
        <v>64</v>
      </c>
      <c r="D218" s="93" t="str">
        <f t="shared" si="174"/>
        <v/>
      </c>
      <c r="E218" s="22">
        <f>ROUND(2830*30%,2)</f>
        <v>849</v>
      </c>
      <c r="F218" s="22"/>
      <c r="G218" s="24">
        <v>44147</v>
      </c>
      <c r="H218" s="23">
        <v>45986</v>
      </c>
      <c r="I218" s="46">
        <v>0.3</v>
      </c>
      <c r="J218" s="46" t="s">
        <v>257</v>
      </c>
      <c r="K218" s="6" t="s">
        <v>204</v>
      </c>
      <c r="L218" s="25"/>
      <c r="M218" s="25"/>
      <c r="N218" s="25"/>
      <c r="O218" s="25">
        <v>42.7</v>
      </c>
      <c r="P218" s="25">
        <f>ROUND(((E218*6.01%)/365)*365,2)</f>
        <v>51.02</v>
      </c>
      <c r="Q218" s="25">
        <f>ROUND((E218*5.31%),2)</f>
        <v>45.08</v>
      </c>
      <c r="R218" s="25"/>
      <c r="S218" s="27">
        <f t="shared" si="128"/>
        <v>987.80000000000007</v>
      </c>
      <c r="T218" s="28">
        <f>IF(H218-$T$1&gt;365,S218,0)</f>
        <v>0</v>
      </c>
      <c r="U218" s="28">
        <f>IF(H218-$T$1&lt;365,S218,0)</f>
        <v>987.80000000000007</v>
      </c>
      <c r="V218" s="28">
        <f>IF(H218="",S218,0)</f>
        <v>0</v>
      </c>
      <c r="W218" s="8"/>
      <c r="X218" s="28"/>
      <c r="Y218" s="28"/>
      <c r="Z218" s="28"/>
      <c r="AA218" s="28">
        <f>S218-Z218-Y218-X218</f>
        <v>987.80000000000007</v>
      </c>
      <c r="AB218" s="28">
        <f>IF(H218-$AB$1&gt;365,AA218,0)</f>
        <v>0</v>
      </c>
      <c r="AC218" s="28">
        <f>IF(H218-$AB$1&lt;=365,AA218,0)</f>
        <v>987.80000000000007</v>
      </c>
      <c r="AD218" s="28">
        <f>IF(H218="",AA218,0)</f>
        <v>0</v>
      </c>
      <c r="AE218" s="28">
        <f>IF(AND(H218-$AB$1&gt;365,H218-$AB$1&lt;=730),AB218,0)</f>
        <v>0</v>
      </c>
      <c r="AF218" s="28">
        <f>IF(AND(H218-$AB$1&gt;730,H218-$AB$1&lt;=1095),AB218,0)</f>
        <v>0</v>
      </c>
      <c r="AG218" s="28">
        <f>IF(AND(H218-$AB$1&gt;1095,H218-$AB$1&lt;=1825),AB218,0)</f>
        <v>0</v>
      </c>
      <c r="AH218" s="28">
        <f>IF(H218-$AB$1&gt;1825,AB218,0)</f>
        <v>0</v>
      </c>
    </row>
    <row r="219" spans="1:36" ht="17.399999999999999" customHeight="1" x14ac:dyDescent="0.3">
      <c r="A219" s="115"/>
      <c r="B219" s="117"/>
      <c r="C219" s="117"/>
      <c r="D219" s="118" t="str">
        <f t="shared" si="174"/>
        <v/>
      </c>
      <c r="E219" s="31">
        <f>SUBTOTAL(9,E215:E218)</f>
        <v>9350.84</v>
      </c>
      <c r="F219" s="31"/>
      <c r="G219" s="119"/>
      <c r="H219" s="120"/>
      <c r="I219" s="115"/>
      <c r="J219" s="115"/>
      <c r="K219" s="115"/>
      <c r="L219" s="31">
        <f t="shared" ref="L219:V219" si="176">SUBTOTAL(9,L215:L218)</f>
        <v>0</v>
      </c>
      <c r="M219" s="31">
        <f t="shared" si="176"/>
        <v>0</v>
      </c>
      <c r="N219" s="31">
        <f t="shared" si="176"/>
        <v>0</v>
      </c>
      <c r="O219" s="31">
        <f t="shared" si="176"/>
        <v>116.39</v>
      </c>
      <c r="P219" s="31">
        <f t="shared" si="176"/>
        <v>315.24</v>
      </c>
      <c r="Q219" s="31">
        <f t="shared" si="176"/>
        <v>468.81</v>
      </c>
      <c r="R219" s="31"/>
      <c r="S219" s="31">
        <f t="shared" si="128"/>
        <v>10251.279999999999</v>
      </c>
      <c r="T219" s="31">
        <f t="shared" si="176"/>
        <v>0</v>
      </c>
      <c r="U219" s="31">
        <f t="shared" si="176"/>
        <v>2692.71</v>
      </c>
      <c r="V219" s="31">
        <f t="shared" si="176"/>
        <v>0</v>
      </c>
      <c r="W219" s="31"/>
      <c r="X219" s="31">
        <f t="shared" ref="X219:AH219" si="177">SUBTOTAL(9,X215:X218)</f>
        <v>522.07000000000005</v>
      </c>
      <c r="Y219" s="31">
        <f t="shared" si="177"/>
        <v>58.46</v>
      </c>
      <c r="Z219" s="31">
        <f t="shared" si="177"/>
        <v>6514.5</v>
      </c>
      <c r="AA219" s="31">
        <f t="shared" si="177"/>
        <v>3214.71</v>
      </c>
      <c r="AB219" s="31">
        <f t="shared" si="177"/>
        <v>522</v>
      </c>
      <c r="AC219" s="31">
        <f t="shared" si="177"/>
        <v>2692.71</v>
      </c>
      <c r="AD219" s="31">
        <f t="shared" si="177"/>
        <v>0</v>
      </c>
      <c r="AE219" s="31">
        <f t="shared" si="177"/>
        <v>522</v>
      </c>
      <c r="AF219" s="31">
        <f t="shared" si="177"/>
        <v>0</v>
      </c>
      <c r="AG219" s="31">
        <f t="shared" si="177"/>
        <v>0</v>
      </c>
      <c r="AH219" s="31">
        <f t="shared" si="177"/>
        <v>0</v>
      </c>
      <c r="AJ219" s="12"/>
    </row>
    <row r="220" spans="1:36" ht="18.600000000000001" customHeight="1" x14ac:dyDescent="0.3">
      <c r="A220" s="90" t="s">
        <v>65</v>
      </c>
      <c r="B220" s="32">
        <v>1111363</v>
      </c>
      <c r="C220" s="83" t="s">
        <v>66</v>
      </c>
      <c r="D220" s="93" t="str">
        <f t="shared" si="174"/>
        <v/>
      </c>
      <c r="E220" s="22">
        <v>5219.8599999999997</v>
      </c>
      <c r="F220" s="22"/>
      <c r="G220" s="24">
        <v>43480</v>
      </c>
      <c r="H220" s="23">
        <v>46188</v>
      </c>
      <c r="I220" s="46">
        <v>0.3</v>
      </c>
      <c r="J220" s="46" t="s">
        <v>257</v>
      </c>
      <c r="K220" s="123" t="s">
        <v>194</v>
      </c>
      <c r="L220" s="25">
        <v>63.590000000000146</v>
      </c>
      <c r="M220" s="25">
        <v>14.32</v>
      </c>
      <c r="N220" s="25">
        <v>1.95</v>
      </c>
      <c r="O220" s="25">
        <v>262.5</v>
      </c>
      <c r="P220" s="25">
        <f>ROUND(((E220*6.01%)/365)*365,2)</f>
        <v>313.70999999999998</v>
      </c>
      <c r="Q220" s="25">
        <f>ROUND((E220*5.31%),2)</f>
        <v>277.17</v>
      </c>
      <c r="R220" s="25"/>
      <c r="S220" s="27">
        <f t="shared" si="128"/>
        <v>6153.0999999999995</v>
      </c>
      <c r="T220" s="28">
        <f>IF(H220-$T$1&gt;365,S220,0)</f>
        <v>0</v>
      </c>
      <c r="U220" s="28">
        <f>IF(H220-$T$1&lt;365,S220,0)</f>
        <v>6153.0999999999995</v>
      </c>
      <c r="V220" s="28">
        <f>IF(H220="",S220,0)</f>
        <v>0</v>
      </c>
      <c r="W220" s="8"/>
      <c r="X220" s="28"/>
      <c r="Y220" s="28"/>
      <c r="Z220" s="28"/>
      <c r="AA220" s="28">
        <f t="shared" ref="AA220:AA227" si="178">S220-Z220-Y220-X220</f>
        <v>6153.0999999999995</v>
      </c>
      <c r="AB220" s="28">
        <f t="shared" ref="AB220:AB227" si="179">IF(H220-$AB$1&gt;365,AA220,0)</f>
        <v>0</v>
      </c>
      <c r="AC220" s="28">
        <f t="shared" ref="AC220:AC227" si="180">IF(H220-$AB$1&lt;=365,AA220,0)</f>
        <v>6153.0999999999995</v>
      </c>
      <c r="AD220" s="28">
        <f t="shared" ref="AD220:AD227" si="181">IF(H220="",AA220,0)</f>
        <v>0</v>
      </c>
      <c r="AE220" s="28">
        <f t="shared" ref="AE220:AE227" si="182">IF(AND(H220-$AB$1&gt;365,H220-$AB$1&lt;=730),AB220,0)</f>
        <v>0</v>
      </c>
      <c r="AF220" s="28">
        <f t="shared" ref="AF220:AF227" si="183">IF(AND(H220-$AB$1&gt;730,H220-$AB$1&lt;=1095),AB220,0)</f>
        <v>0</v>
      </c>
      <c r="AG220" s="28">
        <f t="shared" ref="AG220:AG227" si="184">IF(AND(H220-$AB$1&gt;1095,H220-$AB$1&lt;=1825),AB220,0)</f>
        <v>0</v>
      </c>
      <c r="AH220" s="28">
        <f t="shared" ref="AH220:AH227" si="185">IF(H220-$AB$1&gt;1825,AB220,0)</f>
        <v>0</v>
      </c>
    </row>
    <row r="221" spans="1:36" ht="18.600000000000001" customHeight="1" x14ac:dyDescent="0.3">
      <c r="A221" s="90" t="s">
        <v>65</v>
      </c>
      <c r="B221" s="32">
        <v>1111363</v>
      </c>
      <c r="C221" s="83" t="s">
        <v>67</v>
      </c>
      <c r="D221" s="93" t="str">
        <f t="shared" si="174"/>
        <v/>
      </c>
      <c r="E221" s="22">
        <v>19500</v>
      </c>
      <c r="F221" s="22"/>
      <c r="G221" s="24">
        <v>43480</v>
      </c>
      <c r="H221" s="23">
        <v>46188</v>
      </c>
      <c r="I221" s="46">
        <v>0.3</v>
      </c>
      <c r="J221" s="46" t="s">
        <v>257</v>
      </c>
      <c r="K221" s="123" t="s">
        <v>194</v>
      </c>
      <c r="L221" s="25">
        <v>237.57000000000335</v>
      </c>
      <c r="M221" s="25">
        <v>53.48</v>
      </c>
      <c r="N221" s="25">
        <v>7.29</v>
      </c>
      <c r="O221" s="25">
        <v>980.65</v>
      </c>
      <c r="P221" s="25">
        <f>ROUND(((E221*6.01%)/365)*365,2)</f>
        <v>1171.95</v>
      </c>
      <c r="Q221" s="25">
        <f>ROUND((E221*5.31%),2)</f>
        <v>1035.45</v>
      </c>
      <c r="R221" s="25"/>
      <c r="S221" s="27">
        <f t="shared" si="128"/>
        <v>22986.390000000007</v>
      </c>
      <c r="T221" s="28">
        <f>IF(H221-$T$1&gt;365,S221,0)</f>
        <v>0</v>
      </c>
      <c r="U221" s="28">
        <f>IF(H221-$T$1&lt;365,S221,0)</f>
        <v>22986.390000000007</v>
      </c>
      <c r="V221" s="28">
        <f>IF(H221="",S221,0)</f>
        <v>0</v>
      </c>
      <c r="W221" s="8"/>
      <c r="X221" s="28"/>
      <c r="Y221" s="28"/>
      <c r="Z221" s="28"/>
      <c r="AA221" s="28">
        <f t="shared" si="178"/>
        <v>22986.390000000007</v>
      </c>
      <c r="AB221" s="28">
        <f t="shared" si="179"/>
        <v>0</v>
      </c>
      <c r="AC221" s="28">
        <f t="shared" si="180"/>
        <v>22986.390000000007</v>
      </c>
      <c r="AD221" s="28">
        <f t="shared" si="181"/>
        <v>0</v>
      </c>
      <c r="AE221" s="28">
        <f t="shared" si="182"/>
        <v>0</v>
      </c>
      <c r="AF221" s="28">
        <f t="shared" si="183"/>
        <v>0</v>
      </c>
      <c r="AG221" s="28">
        <f t="shared" si="184"/>
        <v>0</v>
      </c>
      <c r="AH221" s="28">
        <f t="shared" si="185"/>
        <v>0</v>
      </c>
    </row>
    <row r="222" spans="1:36" ht="18.600000000000001" customHeight="1" x14ac:dyDescent="0.3">
      <c r="A222" s="90" t="s">
        <v>65</v>
      </c>
      <c r="B222" s="32">
        <v>1111363</v>
      </c>
      <c r="C222" s="83" t="s">
        <v>117</v>
      </c>
      <c r="D222" s="93" t="str">
        <f t="shared" si="174"/>
        <v/>
      </c>
      <c r="E222" s="22">
        <v>7011.64</v>
      </c>
      <c r="F222" s="22"/>
      <c r="G222" s="24">
        <v>44328</v>
      </c>
      <c r="H222" s="23">
        <v>46301</v>
      </c>
      <c r="I222" s="46">
        <v>0.3</v>
      </c>
      <c r="J222" s="46" t="s">
        <v>257</v>
      </c>
      <c r="K222" s="123" t="s">
        <v>194</v>
      </c>
      <c r="L222" s="25"/>
      <c r="M222" s="25"/>
      <c r="N222" s="25"/>
      <c r="O222" s="25">
        <v>352.61</v>
      </c>
      <c r="P222" s="25">
        <f>ROUND(((E222*6.01%)/365)*365,2)</f>
        <v>421.4</v>
      </c>
      <c r="Q222" s="25">
        <f>ROUND((E222*5.31%),2)</f>
        <v>372.32</v>
      </c>
      <c r="R222" s="25"/>
      <c r="S222" s="27">
        <f t="shared" si="128"/>
        <v>8157.9699999999993</v>
      </c>
      <c r="T222" s="28">
        <f>IF(H222-$T$1&gt;365,S222,0)</f>
        <v>8157.9699999999993</v>
      </c>
      <c r="U222" s="28">
        <f>IF(H222-$T$1&lt;365,S222,0)</f>
        <v>0</v>
      </c>
      <c r="V222" s="28">
        <f>IF(H222="",S222,0)</f>
        <v>0</v>
      </c>
      <c r="W222" s="8"/>
      <c r="X222" s="28"/>
      <c r="Y222" s="28"/>
      <c r="Z222" s="28"/>
      <c r="AA222" s="28">
        <f t="shared" si="178"/>
        <v>8157.9699999999993</v>
      </c>
      <c r="AB222" s="28">
        <f t="shared" si="179"/>
        <v>8157.9699999999993</v>
      </c>
      <c r="AC222" s="28">
        <f t="shared" si="180"/>
        <v>0</v>
      </c>
      <c r="AD222" s="28">
        <f t="shared" si="181"/>
        <v>0</v>
      </c>
      <c r="AE222" s="28">
        <f t="shared" si="182"/>
        <v>8157.9699999999993</v>
      </c>
      <c r="AF222" s="28">
        <f t="shared" si="183"/>
        <v>0</v>
      </c>
      <c r="AG222" s="28">
        <f t="shared" si="184"/>
        <v>0</v>
      </c>
      <c r="AH222" s="28">
        <f t="shared" si="185"/>
        <v>0</v>
      </c>
    </row>
    <row r="223" spans="1:36" ht="18.600000000000001" customHeight="1" x14ac:dyDescent="0.3">
      <c r="A223" s="90" t="s">
        <v>65</v>
      </c>
      <c r="B223" s="32">
        <v>1111363</v>
      </c>
      <c r="C223" s="83" t="s">
        <v>305</v>
      </c>
      <c r="D223" s="93" t="str">
        <f t="shared" si="174"/>
        <v/>
      </c>
      <c r="E223" s="22">
        <v>15432</v>
      </c>
      <c r="F223" s="22"/>
      <c r="G223" s="24">
        <v>45429</v>
      </c>
      <c r="H223" s="23">
        <v>46143</v>
      </c>
      <c r="I223" s="46">
        <v>0.3</v>
      </c>
      <c r="J223" s="46" t="s">
        <v>206</v>
      </c>
      <c r="K223" s="123" t="s">
        <v>204</v>
      </c>
      <c r="L223" s="25"/>
      <c r="M223" s="25"/>
      <c r="N223" s="25"/>
      <c r="O223" s="25"/>
      <c r="P223" s="25"/>
      <c r="Q223" s="25"/>
      <c r="R223" s="25"/>
      <c r="S223" s="27">
        <f t="shared" si="128"/>
        <v>15432</v>
      </c>
      <c r="T223" s="28"/>
      <c r="U223" s="28"/>
      <c r="V223" s="28"/>
      <c r="W223" s="37"/>
      <c r="X223" s="28"/>
      <c r="Y223" s="28"/>
      <c r="Z223" s="28"/>
      <c r="AA223" s="28">
        <f t="shared" si="178"/>
        <v>15432</v>
      </c>
      <c r="AB223" s="28">
        <f t="shared" si="179"/>
        <v>0</v>
      </c>
      <c r="AC223" s="28">
        <f t="shared" si="180"/>
        <v>15432</v>
      </c>
      <c r="AD223" s="28">
        <f t="shared" si="181"/>
        <v>0</v>
      </c>
      <c r="AE223" s="28">
        <f t="shared" si="182"/>
        <v>0</v>
      </c>
      <c r="AF223" s="28">
        <f t="shared" si="183"/>
        <v>0</v>
      </c>
      <c r="AG223" s="28">
        <f t="shared" si="184"/>
        <v>0</v>
      </c>
      <c r="AH223" s="28">
        <f t="shared" si="185"/>
        <v>0</v>
      </c>
      <c r="AJ223" s="12"/>
    </row>
    <row r="224" spans="1:36" ht="18.600000000000001" customHeight="1" x14ac:dyDescent="0.3">
      <c r="A224" s="90" t="s">
        <v>65</v>
      </c>
      <c r="B224" s="32">
        <v>1111363</v>
      </c>
      <c r="C224" s="83" t="s">
        <v>306</v>
      </c>
      <c r="D224" s="93" t="str">
        <f t="shared" si="174"/>
        <v/>
      </c>
      <c r="E224" s="22">
        <v>1440</v>
      </c>
      <c r="F224" s="22"/>
      <c r="G224" s="24">
        <v>45439</v>
      </c>
      <c r="H224" s="23">
        <v>46151</v>
      </c>
      <c r="I224" s="46">
        <v>0.3</v>
      </c>
      <c r="J224" s="46" t="s">
        <v>206</v>
      </c>
      <c r="K224" s="123" t="s">
        <v>204</v>
      </c>
      <c r="L224" s="25"/>
      <c r="M224" s="25"/>
      <c r="N224" s="25"/>
      <c r="O224" s="25"/>
      <c r="P224" s="25"/>
      <c r="Q224" s="25"/>
      <c r="R224" s="25"/>
      <c r="S224" s="27">
        <f t="shared" si="128"/>
        <v>1440</v>
      </c>
      <c r="T224" s="28"/>
      <c r="U224" s="28"/>
      <c r="V224" s="28"/>
      <c r="W224" s="37"/>
      <c r="X224" s="28"/>
      <c r="Y224" s="28"/>
      <c r="Z224" s="28"/>
      <c r="AA224" s="28">
        <f t="shared" si="178"/>
        <v>1440</v>
      </c>
      <c r="AB224" s="28">
        <f t="shared" si="179"/>
        <v>0</v>
      </c>
      <c r="AC224" s="28">
        <f t="shared" si="180"/>
        <v>1440</v>
      </c>
      <c r="AD224" s="28">
        <f t="shared" si="181"/>
        <v>0</v>
      </c>
      <c r="AE224" s="28">
        <f t="shared" si="182"/>
        <v>0</v>
      </c>
      <c r="AF224" s="28">
        <f t="shared" si="183"/>
        <v>0</v>
      </c>
      <c r="AG224" s="28">
        <f t="shared" si="184"/>
        <v>0</v>
      </c>
      <c r="AH224" s="28">
        <f t="shared" si="185"/>
        <v>0</v>
      </c>
      <c r="AJ224" s="12"/>
    </row>
    <row r="225" spans="1:36" ht="18.600000000000001" customHeight="1" x14ac:dyDescent="0.3">
      <c r="A225" s="90" t="s">
        <v>65</v>
      </c>
      <c r="B225" s="32">
        <v>1111363</v>
      </c>
      <c r="C225" s="83" t="s">
        <v>335</v>
      </c>
      <c r="D225" s="93" t="str">
        <f t="shared" si="174"/>
        <v/>
      </c>
      <c r="E225" s="22">
        <f>1470+244.8</f>
        <v>1714.8</v>
      </c>
      <c r="F225" s="22"/>
      <c r="G225" s="24" t="s">
        <v>344</v>
      </c>
      <c r="H225" s="23">
        <v>46371</v>
      </c>
      <c r="I225" s="46">
        <v>0.3</v>
      </c>
      <c r="J225" s="46" t="s">
        <v>206</v>
      </c>
      <c r="K225" s="123" t="s">
        <v>204</v>
      </c>
      <c r="L225" s="25"/>
      <c r="M225" s="25"/>
      <c r="N225" s="25"/>
      <c r="O225" s="25"/>
      <c r="P225" s="25"/>
      <c r="Q225" s="25"/>
      <c r="R225" s="25"/>
      <c r="S225" s="27">
        <f t="shared" si="128"/>
        <v>1714.8</v>
      </c>
      <c r="T225" s="28"/>
      <c r="U225" s="28"/>
      <c r="V225" s="28"/>
      <c r="W225" s="37"/>
      <c r="X225" s="28"/>
      <c r="Y225" s="28"/>
      <c r="Z225" s="28"/>
      <c r="AA225" s="28">
        <f t="shared" si="178"/>
        <v>1714.8</v>
      </c>
      <c r="AB225" s="28">
        <f t="shared" si="179"/>
        <v>1714.8</v>
      </c>
      <c r="AC225" s="28">
        <f t="shared" si="180"/>
        <v>0</v>
      </c>
      <c r="AD225" s="28">
        <f t="shared" si="181"/>
        <v>0</v>
      </c>
      <c r="AE225" s="28">
        <f t="shared" si="182"/>
        <v>1714.8</v>
      </c>
      <c r="AF225" s="28">
        <f t="shared" si="183"/>
        <v>0</v>
      </c>
      <c r="AG225" s="28">
        <f t="shared" si="184"/>
        <v>0</v>
      </c>
      <c r="AH225" s="28">
        <f t="shared" si="185"/>
        <v>0</v>
      </c>
      <c r="AJ225" s="12"/>
    </row>
    <row r="226" spans="1:36" ht="40.799999999999997" x14ac:dyDescent="0.3">
      <c r="A226" s="85" t="s">
        <v>284</v>
      </c>
      <c r="B226" s="162">
        <v>1111363</v>
      </c>
      <c r="C226" s="157" t="s">
        <v>58</v>
      </c>
      <c r="D226" s="158" t="str">
        <f>IF(W226&gt;0,"zwrócone","")</f>
        <v>zwrócone</v>
      </c>
      <c r="E226" s="159">
        <f>ROUND(4813.9*30%,2)</f>
        <v>1444.17</v>
      </c>
      <c r="F226" s="159"/>
      <c r="G226" s="160">
        <v>43916</v>
      </c>
      <c r="H226" s="160">
        <v>45838</v>
      </c>
      <c r="I226" s="46">
        <v>0.3</v>
      </c>
      <c r="J226" s="46" t="s">
        <v>257</v>
      </c>
      <c r="K226" s="6" t="s">
        <v>204</v>
      </c>
      <c r="L226" s="25"/>
      <c r="M226" s="25">
        <v>0.11</v>
      </c>
      <c r="N226" s="25">
        <v>0.54</v>
      </c>
      <c r="O226" s="25">
        <v>72.63</v>
      </c>
      <c r="P226" s="25">
        <f>ROUND(((E226*6.01%)/365)*365,2)</f>
        <v>86.79</v>
      </c>
      <c r="Q226" s="25">
        <f>ROUND((E226*5.31%),2)</f>
        <v>76.69</v>
      </c>
      <c r="R226" s="25">
        <f>ROUND(((E226*5.25%)/365)*190,2)</f>
        <v>39.47</v>
      </c>
      <c r="S226" s="27">
        <f t="shared" si="128"/>
        <v>1720.3999999999999</v>
      </c>
      <c r="T226" s="28">
        <f>IF(H226-$T$1&gt;365,S226,0)</f>
        <v>0</v>
      </c>
      <c r="U226" s="28">
        <f>IF(H226-$T$1&lt;365,S226,0)</f>
        <v>1720.3999999999999</v>
      </c>
      <c r="V226" s="28">
        <f>IF(H226="",S226,0)</f>
        <v>0</v>
      </c>
      <c r="W226" s="37">
        <v>45848</v>
      </c>
      <c r="X226" s="28">
        <v>236.76</v>
      </c>
      <c r="Y226" s="28">
        <v>39.47</v>
      </c>
      <c r="Z226" s="28">
        <v>1444.17</v>
      </c>
      <c r="AA226" s="28">
        <f t="shared" si="178"/>
        <v>0</v>
      </c>
      <c r="AB226" s="28">
        <f t="shared" si="179"/>
        <v>0</v>
      </c>
      <c r="AC226" s="28">
        <f t="shared" si="180"/>
        <v>0</v>
      </c>
      <c r="AD226" s="28">
        <f t="shared" si="181"/>
        <v>0</v>
      </c>
      <c r="AE226" s="28">
        <f t="shared" si="182"/>
        <v>0</v>
      </c>
      <c r="AF226" s="28">
        <f t="shared" si="183"/>
        <v>0</v>
      </c>
      <c r="AG226" s="28">
        <f t="shared" si="184"/>
        <v>0</v>
      </c>
      <c r="AH226" s="28">
        <f t="shared" si="185"/>
        <v>0</v>
      </c>
    </row>
    <row r="227" spans="1:36" ht="40.799999999999997" x14ac:dyDescent="0.3">
      <c r="A227" s="6" t="s">
        <v>284</v>
      </c>
      <c r="B227" s="32">
        <v>1111363</v>
      </c>
      <c r="C227" s="83" t="s">
        <v>116</v>
      </c>
      <c r="D227" s="93" t="str">
        <f>IF(W227&gt;0,"zwrócone","")</f>
        <v/>
      </c>
      <c r="E227" s="22">
        <v>6128.36</v>
      </c>
      <c r="F227" s="22"/>
      <c r="G227" s="24">
        <v>44329</v>
      </c>
      <c r="H227" s="24">
        <v>46301</v>
      </c>
      <c r="I227" s="46">
        <v>0.3</v>
      </c>
      <c r="J227" s="46" t="s">
        <v>257</v>
      </c>
      <c r="K227" s="6" t="s">
        <v>194</v>
      </c>
      <c r="L227" s="25"/>
      <c r="M227" s="25"/>
      <c r="N227" s="25"/>
      <c r="O227" s="25">
        <v>308.19</v>
      </c>
      <c r="P227" s="25">
        <f>ROUND(((E227*6.01%)/365)*365,2)</f>
        <v>368.31</v>
      </c>
      <c r="Q227" s="25">
        <f>ROUND((E227*5.31%),2)</f>
        <v>325.42</v>
      </c>
      <c r="R227" s="25"/>
      <c r="S227" s="27">
        <f t="shared" si="128"/>
        <v>7130.28</v>
      </c>
      <c r="T227" s="28"/>
      <c r="U227" s="28"/>
      <c r="V227" s="28"/>
      <c r="W227" s="8"/>
      <c r="X227" s="28"/>
      <c r="Y227" s="28"/>
      <c r="Z227" s="28"/>
      <c r="AA227" s="28">
        <f t="shared" si="178"/>
        <v>7130.28</v>
      </c>
      <c r="AB227" s="28">
        <f t="shared" si="179"/>
        <v>7130.28</v>
      </c>
      <c r="AC227" s="28">
        <f t="shared" si="180"/>
        <v>0</v>
      </c>
      <c r="AD227" s="28">
        <f t="shared" si="181"/>
        <v>0</v>
      </c>
      <c r="AE227" s="28">
        <f t="shared" si="182"/>
        <v>7130.28</v>
      </c>
      <c r="AF227" s="28">
        <f t="shared" si="183"/>
        <v>0</v>
      </c>
      <c r="AG227" s="28">
        <f t="shared" si="184"/>
        <v>0</v>
      </c>
      <c r="AH227" s="28">
        <f t="shared" si="185"/>
        <v>0</v>
      </c>
    </row>
    <row r="228" spans="1:36" ht="19.2" customHeight="1" x14ac:dyDescent="0.3">
      <c r="A228" s="130"/>
      <c r="B228" s="131"/>
      <c r="C228" s="117"/>
      <c r="D228" s="118" t="str">
        <f t="shared" si="174"/>
        <v/>
      </c>
      <c r="E228" s="31">
        <f>SUBTOTAL(9,E220:E227)</f>
        <v>57890.83</v>
      </c>
      <c r="F228" s="31"/>
      <c r="G228" s="119"/>
      <c r="H228" s="120"/>
      <c r="I228" s="115"/>
      <c r="J228" s="115"/>
      <c r="K228" s="115"/>
      <c r="L228" s="31">
        <f t="shared" ref="L228:Q228" si="186">SUBTOTAL(9,L220:L227)</f>
        <v>301.16000000000349</v>
      </c>
      <c r="M228" s="31">
        <f t="shared" si="186"/>
        <v>67.91</v>
      </c>
      <c r="N228" s="31">
        <f t="shared" si="186"/>
        <v>9.7800000000000011</v>
      </c>
      <c r="O228" s="31">
        <f t="shared" si="186"/>
        <v>1976.5800000000004</v>
      </c>
      <c r="P228" s="31">
        <f t="shared" si="186"/>
        <v>2362.16</v>
      </c>
      <c r="Q228" s="31">
        <f t="shared" si="186"/>
        <v>2087.0500000000002</v>
      </c>
      <c r="R228" s="31"/>
      <c r="S228" s="31">
        <f t="shared" si="128"/>
        <v>64695.470000000016</v>
      </c>
      <c r="T228" s="31">
        <f>SUBTOTAL(9,T220:T222)</f>
        <v>8157.9699999999993</v>
      </c>
      <c r="U228" s="31">
        <f>SUBTOTAL(9,U220:U222)</f>
        <v>29139.490000000005</v>
      </c>
      <c r="V228" s="31">
        <f>SUBTOTAL(9,V220:V222)</f>
        <v>0</v>
      </c>
      <c r="W228" s="31"/>
      <c r="X228" s="31">
        <f t="shared" ref="X228:AH228" si="187">SUBTOTAL(9,X220:X227)</f>
        <v>236.76</v>
      </c>
      <c r="Y228" s="31">
        <f t="shared" si="187"/>
        <v>39.47</v>
      </c>
      <c r="Z228" s="31">
        <f t="shared" si="187"/>
        <v>1444.17</v>
      </c>
      <c r="AA228" s="31">
        <f t="shared" si="187"/>
        <v>63014.540000000008</v>
      </c>
      <c r="AB228" s="31">
        <f t="shared" si="187"/>
        <v>17003.05</v>
      </c>
      <c r="AC228" s="31">
        <f t="shared" si="187"/>
        <v>46011.490000000005</v>
      </c>
      <c r="AD228" s="31">
        <f t="shared" si="187"/>
        <v>0</v>
      </c>
      <c r="AE228" s="31">
        <f t="shared" si="187"/>
        <v>17003.05</v>
      </c>
      <c r="AF228" s="31">
        <f t="shared" si="187"/>
        <v>0</v>
      </c>
      <c r="AG228" s="31">
        <f t="shared" si="187"/>
        <v>0</v>
      </c>
      <c r="AH228" s="31">
        <f t="shared" si="187"/>
        <v>0</v>
      </c>
      <c r="AJ228" s="12"/>
    </row>
    <row r="229" spans="1:36" ht="16.2" customHeight="1" x14ac:dyDescent="0.3">
      <c r="A229" s="85" t="s">
        <v>232</v>
      </c>
      <c r="B229" s="183">
        <v>1117627</v>
      </c>
      <c r="C229" s="157" t="s">
        <v>336</v>
      </c>
      <c r="D229" s="158" t="str">
        <f t="shared" si="174"/>
        <v>zwrócone</v>
      </c>
      <c r="E229" s="159">
        <v>10148</v>
      </c>
      <c r="F229" s="159" t="s">
        <v>158</v>
      </c>
      <c r="G229" s="160">
        <v>45595</v>
      </c>
      <c r="H229" s="84">
        <v>45690</v>
      </c>
      <c r="I229" s="46">
        <v>1</v>
      </c>
      <c r="J229" s="46" t="s">
        <v>206</v>
      </c>
      <c r="K229" s="6" t="s">
        <v>203</v>
      </c>
      <c r="L229" s="25"/>
      <c r="M229" s="25"/>
      <c r="N229" s="25"/>
      <c r="O229" s="25"/>
      <c r="P229" s="25"/>
      <c r="Q229" s="25"/>
      <c r="R229" s="25"/>
      <c r="S229" s="27">
        <f t="shared" si="128"/>
        <v>10148</v>
      </c>
      <c r="T229" s="28"/>
      <c r="U229" s="28"/>
      <c r="V229" s="28"/>
      <c r="W229" s="37">
        <v>45729</v>
      </c>
      <c r="X229" s="28"/>
      <c r="Y229" s="28"/>
      <c r="Z229" s="28">
        <v>10148</v>
      </c>
      <c r="AA229" s="28">
        <f>S229-Z229-Y229-X229</f>
        <v>0</v>
      </c>
      <c r="AB229" s="28">
        <f>IF(H229-$AB$1&gt;365,AA229,0)</f>
        <v>0</v>
      </c>
      <c r="AC229" s="28">
        <f>IF(H229-$AB$1&lt;=365,AA229,0)</f>
        <v>0</v>
      </c>
      <c r="AD229" s="28">
        <f>IF(H229="",AA229,0)</f>
        <v>0</v>
      </c>
      <c r="AE229" s="28">
        <f>IF(AND(H229-$AB$1&gt;365,H229-$AB$1&lt;=730),AB229,0)</f>
        <v>0</v>
      </c>
      <c r="AF229" s="28">
        <f>IF(AND(H229-$AB$1&gt;730,H229-$AB$1&lt;=1095),AB229,0)</f>
        <v>0</v>
      </c>
      <c r="AG229" s="28">
        <f>IF(AND(H229-$AB$1&gt;1095,H229-$AB$1&lt;=1825),AB229,0)</f>
        <v>0</v>
      </c>
      <c r="AH229" s="28">
        <f>IF(H229-$AB$1&gt;1825,AB229,0)</f>
        <v>0</v>
      </c>
      <c r="AJ229" s="12"/>
    </row>
    <row r="230" spans="1:36" ht="16.2" customHeight="1" x14ac:dyDescent="0.3">
      <c r="A230" s="85" t="s">
        <v>232</v>
      </c>
      <c r="B230" s="20">
        <v>1117627</v>
      </c>
      <c r="C230" s="83" t="s">
        <v>365</v>
      </c>
      <c r="D230" s="93" t="str">
        <f t="shared" si="174"/>
        <v/>
      </c>
      <c r="E230" s="22">
        <v>8454.6</v>
      </c>
      <c r="F230" s="22" t="s">
        <v>158</v>
      </c>
      <c r="G230" s="24">
        <v>45730</v>
      </c>
      <c r="H230" s="23">
        <v>45930</v>
      </c>
      <c r="I230" s="46">
        <v>0.7</v>
      </c>
      <c r="J230" s="191" t="s">
        <v>206</v>
      </c>
      <c r="K230" s="190" t="s">
        <v>203</v>
      </c>
      <c r="L230" s="25"/>
      <c r="M230" s="25"/>
      <c r="N230" s="25"/>
      <c r="O230" s="25"/>
      <c r="P230" s="25"/>
      <c r="Q230" s="25"/>
      <c r="R230" s="25"/>
      <c r="S230" s="27">
        <f t="shared" si="128"/>
        <v>8454.6</v>
      </c>
      <c r="T230" s="28"/>
      <c r="U230" s="28"/>
      <c r="V230" s="28"/>
      <c r="W230" s="37"/>
      <c r="X230" s="28"/>
      <c r="Y230" s="28"/>
      <c r="Z230" s="28"/>
      <c r="AA230" s="28">
        <f>S230-Z230-Y230-X230</f>
        <v>8454.6</v>
      </c>
      <c r="AB230" s="28">
        <f>IF(H230-$AB$1&gt;365,AA230,0)</f>
        <v>0</v>
      </c>
      <c r="AC230" s="28">
        <f>IF(H230-$AB$1&lt;=365,AA230,0)</f>
        <v>8454.6</v>
      </c>
      <c r="AD230" s="28">
        <f>IF(H230="",AA230,0)</f>
        <v>0</v>
      </c>
      <c r="AE230" s="28">
        <f>IF(AND(H230-$AB$1&gt;365,H230-$AB$1&lt;=730),AB230,0)</f>
        <v>0</v>
      </c>
      <c r="AF230" s="28">
        <f>IF(AND(H230-$AB$1&gt;730,H230-$AB$1&lt;=1095),AB230,0)</f>
        <v>0</v>
      </c>
      <c r="AG230" s="28">
        <f>IF(AND(H230-$AB$1&gt;1095,H230-$AB$1&lt;=1825),AB230,0)</f>
        <v>0</v>
      </c>
      <c r="AH230" s="28">
        <f>IF(H230-$AB$1&gt;1825,AB230,0)</f>
        <v>0</v>
      </c>
      <c r="AJ230" s="12"/>
    </row>
    <row r="231" spans="1:36" ht="16.2" customHeight="1" x14ac:dyDescent="0.3">
      <c r="A231" s="6" t="s">
        <v>232</v>
      </c>
      <c r="B231" s="20">
        <v>1117627</v>
      </c>
      <c r="C231" s="83" t="s">
        <v>365</v>
      </c>
      <c r="D231" s="93" t="str">
        <f t="shared" si="174"/>
        <v/>
      </c>
      <c r="E231" s="22">
        <v>3623.4</v>
      </c>
      <c r="F231" s="22" t="s">
        <v>158</v>
      </c>
      <c r="G231" s="24">
        <v>45730</v>
      </c>
      <c r="H231" s="23">
        <v>46266</v>
      </c>
      <c r="I231" s="46">
        <v>0.3</v>
      </c>
      <c r="J231" s="191" t="s">
        <v>206</v>
      </c>
      <c r="K231" s="190" t="s">
        <v>203</v>
      </c>
      <c r="L231" s="25"/>
      <c r="M231" s="25"/>
      <c r="N231" s="25"/>
      <c r="O231" s="25"/>
      <c r="P231" s="25"/>
      <c r="Q231" s="25"/>
      <c r="R231" s="25"/>
      <c r="S231" s="27">
        <f>E231+L231+M231+N231+P231+O231+Q231+R231</f>
        <v>3623.4</v>
      </c>
      <c r="T231" s="28"/>
      <c r="U231" s="28"/>
      <c r="V231" s="28"/>
      <c r="W231" s="37"/>
      <c r="X231" s="28"/>
      <c r="Y231" s="28"/>
      <c r="Z231" s="28"/>
      <c r="AA231" s="28">
        <f>S231-Z231-Y231-X231</f>
        <v>3623.4</v>
      </c>
      <c r="AB231" s="28">
        <f>IF(H231-$AB$1&gt;365,AA231,0)</f>
        <v>0</v>
      </c>
      <c r="AC231" s="28">
        <f>IF(H231-$AB$1&lt;=365,AA231,0)</f>
        <v>3623.4</v>
      </c>
      <c r="AD231" s="28">
        <f>IF(H231="",AA231,0)</f>
        <v>0</v>
      </c>
      <c r="AE231" s="28">
        <f>IF(AND(H231-$AB$1&gt;365,H231-$AB$1&lt;=730),AB231,0)</f>
        <v>0</v>
      </c>
      <c r="AF231" s="28">
        <f>IF(AND(H231-$AB$1&gt;730,H231-$AB$1&lt;=1095),AB231,0)</f>
        <v>0</v>
      </c>
      <c r="AG231" s="28">
        <f>IF(AND(H231-$AB$1&gt;1095,H231-$AB$1&lt;=1825),AB231,0)</f>
        <v>0</v>
      </c>
      <c r="AH231" s="28">
        <f>IF(H231-$AB$1&gt;1825,AB231,0)</f>
        <v>0</v>
      </c>
      <c r="AJ231" s="12"/>
    </row>
    <row r="232" spans="1:36" ht="16.2" customHeight="1" x14ac:dyDescent="0.3">
      <c r="A232" s="6" t="s">
        <v>232</v>
      </c>
      <c r="B232" s="20">
        <v>1117627</v>
      </c>
      <c r="C232" s="83" t="s">
        <v>258</v>
      </c>
      <c r="D232" s="93" t="str">
        <f t="shared" si="174"/>
        <v/>
      </c>
      <c r="E232" s="22">
        <v>2827.44</v>
      </c>
      <c r="F232" s="22" t="s">
        <v>158</v>
      </c>
      <c r="G232" s="24">
        <v>45201</v>
      </c>
      <c r="H232" s="23">
        <v>46052</v>
      </c>
      <c r="I232" s="46">
        <v>0.3</v>
      </c>
      <c r="J232" s="46" t="s">
        <v>206</v>
      </c>
      <c r="K232" s="6" t="s">
        <v>203</v>
      </c>
      <c r="L232" s="25"/>
      <c r="M232" s="25"/>
      <c r="N232" s="25"/>
      <c r="O232" s="25"/>
      <c r="P232" s="25"/>
      <c r="Q232" s="25"/>
      <c r="R232" s="25"/>
      <c r="S232" s="27">
        <f>E232+L232+M232+N232+P232+O232+Q232+R232</f>
        <v>2827.44</v>
      </c>
      <c r="T232" s="28"/>
      <c r="U232" s="28"/>
      <c r="V232" s="28"/>
      <c r="W232" s="37"/>
      <c r="X232" s="28"/>
      <c r="Y232" s="28"/>
      <c r="Z232" s="28"/>
      <c r="AA232" s="28">
        <f>S232-Z232-Y232-X232</f>
        <v>2827.44</v>
      </c>
      <c r="AB232" s="28">
        <f>IF(H232-$AB$1&gt;365,AA232,0)</f>
        <v>0</v>
      </c>
      <c r="AC232" s="28">
        <f>IF(H232-$AB$1&lt;=365,AA232,0)</f>
        <v>2827.44</v>
      </c>
      <c r="AD232" s="28">
        <f>IF(H232="",AA232,0)</f>
        <v>0</v>
      </c>
      <c r="AE232" s="28">
        <f>IF(AND(H232-$AB$1&gt;365,H232-$AB$1&lt;=730),AB232,0)</f>
        <v>0</v>
      </c>
      <c r="AF232" s="28">
        <f>IF(AND(H232-$AB$1&gt;730,H232-$AB$1&lt;=1095),AB232,0)</f>
        <v>0</v>
      </c>
      <c r="AG232" s="28">
        <f>IF(AND(H232-$AB$1&gt;1095,H232-$AB$1&lt;=1825),AB232,0)</f>
        <v>0</v>
      </c>
      <c r="AH232" s="28">
        <f>IF(H232-$AB$1&gt;1825,AB232,0)</f>
        <v>0</v>
      </c>
      <c r="AJ232" s="12"/>
    </row>
    <row r="233" spans="1:36" ht="16.2" customHeight="1" x14ac:dyDescent="0.3">
      <c r="A233" s="115"/>
      <c r="B233" s="116"/>
      <c r="C233" s="117"/>
      <c r="D233" s="118" t="str">
        <f>IF(W233&gt;0,"zwrócone","")</f>
        <v/>
      </c>
      <c r="E233" s="31">
        <f>SUBTOTAL(9,E229:E232)</f>
        <v>25053.439999999999</v>
      </c>
      <c r="F233" s="31"/>
      <c r="G233" s="119"/>
      <c r="H233" s="120"/>
      <c r="I233" s="115"/>
      <c r="J233" s="115"/>
      <c r="K233" s="115"/>
      <c r="L233" s="31">
        <f t="shared" ref="L233:V233" si="188">SUBTOTAL(9,L229:L232)</f>
        <v>0</v>
      </c>
      <c r="M233" s="31">
        <f t="shared" si="188"/>
        <v>0</v>
      </c>
      <c r="N233" s="31">
        <f t="shared" si="188"/>
        <v>0</v>
      </c>
      <c r="O233" s="31">
        <f t="shared" si="188"/>
        <v>0</v>
      </c>
      <c r="P233" s="31">
        <f t="shared" si="188"/>
        <v>0</v>
      </c>
      <c r="Q233" s="31">
        <f t="shared" si="188"/>
        <v>0</v>
      </c>
      <c r="R233" s="31"/>
      <c r="S233" s="31">
        <f t="shared" ref="S233:S302" si="189">E233+L233+M233+N233+P233+O233+Q233+R233</f>
        <v>25053.439999999999</v>
      </c>
      <c r="T233" s="31">
        <f t="shared" si="188"/>
        <v>0</v>
      </c>
      <c r="U233" s="31">
        <f t="shared" si="188"/>
        <v>0</v>
      </c>
      <c r="V233" s="31">
        <f t="shared" si="188"/>
        <v>0</v>
      </c>
      <c r="W233" s="31"/>
      <c r="X233" s="31">
        <f t="shared" ref="X233:AH233" si="190">SUBTOTAL(9,X229:X232)</f>
        <v>0</v>
      </c>
      <c r="Y233" s="31">
        <f t="shared" si="190"/>
        <v>0</v>
      </c>
      <c r="Z233" s="31">
        <f t="shared" si="190"/>
        <v>10148</v>
      </c>
      <c r="AA233" s="31">
        <f t="shared" si="190"/>
        <v>14905.44</v>
      </c>
      <c r="AB233" s="31">
        <f t="shared" si="190"/>
        <v>0</v>
      </c>
      <c r="AC233" s="31">
        <f t="shared" si="190"/>
        <v>14905.44</v>
      </c>
      <c r="AD233" s="31">
        <f t="shared" si="190"/>
        <v>0</v>
      </c>
      <c r="AE233" s="31">
        <f t="shared" si="190"/>
        <v>0</v>
      </c>
      <c r="AF233" s="31">
        <f t="shared" si="190"/>
        <v>0</v>
      </c>
      <c r="AG233" s="31">
        <f t="shared" si="190"/>
        <v>0</v>
      </c>
      <c r="AH233" s="31">
        <f t="shared" si="190"/>
        <v>0</v>
      </c>
      <c r="AJ233" s="12"/>
    </row>
    <row r="234" spans="1:36" ht="16.2" customHeight="1" x14ac:dyDescent="0.3">
      <c r="A234" s="161" t="s">
        <v>112</v>
      </c>
      <c r="B234" s="162">
        <v>1118574</v>
      </c>
      <c r="C234" s="157" t="s">
        <v>119</v>
      </c>
      <c r="D234" s="158" t="str">
        <f t="shared" ref="D234:D269" si="191">IF(W234&gt;0,"zwrócone","")</f>
        <v>zwrócone</v>
      </c>
      <c r="E234" s="159">
        <f>2061+222</f>
        <v>2283</v>
      </c>
      <c r="F234" s="159"/>
      <c r="G234" s="160" t="s">
        <v>124</v>
      </c>
      <c r="H234" s="84">
        <v>46295</v>
      </c>
      <c r="I234" s="46">
        <v>0.3</v>
      </c>
      <c r="J234" s="46" t="s">
        <v>257</v>
      </c>
      <c r="K234" s="6" t="s">
        <v>195</v>
      </c>
      <c r="L234" s="25"/>
      <c r="M234" s="25"/>
      <c r="N234" s="25"/>
      <c r="O234" s="25">
        <v>114.81</v>
      </c>
      <c r="P234" s="25">
        <f>ROUND(((E234*6.01%)/365)*365,2)</f>
        <v>137.21</v>
      </c>
      <c r="Q234" s="25">
        <f>ROUND((E234*5.31%),2)</f>
        <v>121.23</v>
      </c>
      <c r="R234" s="25">
        <f>ROUND(((E234*5.2%)/365)*211,2)</f>
        <v>68.63</v>
      </c>
      <c r="S234" s="27">
        <f t="shared" si="189"/>
        <v>2724.88</v>
      </c>
      <c r="T234" s="28"/>
      <c r="U234" s="28"/>
      <c r="V234" s="28"/>
      <c r="W234" s="37">
        <v>45869</v>
      </c>
      <c r="X234" s="28">
        <v>373.25</v>
      </c>
      <c r="Y234" s="28">
        <v>68.63</v>
      </c>
      <c r="Z234" s="28">
        <v>2283</v>
      </c>
      <c r="AA234" s="28">
        <f>S234-Z234-Y234-X234</f>
        <v>0</v>
      </c>
      <c r="AB234" s="28">
        <f>IF(H234-$AB$1&gt;365,AA234,0)</f>
        <v>0</v>
      </c>
      <c r="AC234" s="28">
        <f>IF(H234-$AB$1&lt;=365,AA234,0)</f>
        <v>0</v>
      </c>
      <c r="AD234" s="28">
        <f>IF(H234="",AA234,0)</f>
        <v>0</v>
      </c>
      <c r="AE234" s="28">
        <f>IF(AND(H234-$AB$1&gt;365,H234-$AB$1&lt;=730),AB234,0)</f>
        <v>0</v>
      </c>
      <c r="AF234" s="28">
        <f>IF(AND(H234-$AB$1&gt;730,H234-$AB$1&lt;=1095),AB234,0)</f>
        <v>0</v>
      </c>
      <c r="AG234" s="28">
        <f>IF(AND(H234-$AB$1&gt;1095,H234-$AB$1&lt;=1825),AB234,0)</f>
        <v>0</v>
      </c>
      <c r="AH234" s="28">
        <f>IF(H234-$AB$1&gt;1825,AB234,0)</f>
        <v>0</v>
      </c>
    </row>
    <row r="235" spans="1:36" ht="16.2" customHeight="1" x14ac:dyDescent="0.3">
      <c r="A235" s="115"/>
      <c r="B235" s="116"/>
      <c r="C235" s="117"/>
      <c r="D235" s="118" t="str">
        <f t="shared" si="191"/>
        <v/>
      </c>
      <c r="E235" s="31">
        <f>SUBTOTAL(9,E234:E234)</f>
        <v>2283</v>
      </c>
      <c r="F235" s="31"/>
      <c r="G235" s="119"/>
      <c r="H235" s="120"/>
      <c r="I235" s="115"/>
      <c r="J235" s="115"/>
      <c r="K235" s="115"/>
      <c r="L235" s="31">
        <f t="shared" ref="L235:Q235" si="192">SUBTOTAL(9,L234:L234)</f>
        <v>0</v>
      </c>
      <c r="M235" s="31">
        <f t="shared" si="192"/>
        <v>0</v>
      </c>
      <c r="N235" s="31">
        <f t="shared" si="192"/>
        <v>0</v>
      </c>
      <c r="O235" s="31">
        <f t="shared" si="192"/>
        <v>114.81</v>
      </c>
      <c r="P235" s="31">
        <f t="shared" si="192"/>
        <v>137.21</v>
      </c>
      <c r="Q235" s="31">
        <f t="shared" si="192"/>
        <v>121.23</v>
      </c>
      <c r="R235" s="31"/>
      <c r="S235" s="31">
        <f t="shared" si="189"/>
        <v>2656.25</v>
      </c>
      <c r="T235" s="31" t="e">
        <f>SUBTOTAL(9,#REF!)</f>
        <v>#REF!</v>
      </c>
      <c r="U235" s="31" t="e">
        <f>SUBTOTAL(9,#REF!)</f>
        <v>#REF!</v>
      </c>
      <c r="V235" s="31" t="e">
        <f>SUBTOTAL(9,#REF!)</f>
        <v>#REF!</v>
      </c>
      <c r="W235" s="31"/>
      <c r="X235" s="31" t="e">
        <f>SUBTOTAL(9,#REF!)</f>
        <v>#REF!</v>
      </c>
      <c r="Y235" s="31" t="e">
        <f>SUBTOTAL(9,#REF!)</f>
        <v>#REF!</v>
      </c>
      <c r="Z235" s="31" t="e">
        <f>SUBTOTAL(9,#REF!)</f>
        <v>#REF!</v>
      </c>
      <c r="AA235" s="31">
        <f t="shared" ref="AA235:AH235" si="193">SUBTOTAL(9,AA234:AA234)</f>
        <v>0</v>
      </c>
      <c r="AB235" s="31">
        <f t="shared" si="193"/>
        <v>0</v>
      </c>
      <c r="AC235" s="31">
        <f t="shared" si="193"/>
        <v>0</v>
      </c>
      <c r="AD235" s="31">
        <f t="shared" si="193"/>
        <v>0</v>
      </c>
      <c r="AE235" s="31">
        <f t="shared" si="193"/>
        <v>0</v>
      </c>
      <c r="AF235" s="31">
        <f t="shared" si="193"/>
        <v>0</v>
      </c>
      <c r="AG235" s="31">
        <f t="shared" si="193"/>
        <v>0</v>
      </c>
      <c r="AH235" s="31">
        <f t="shared" si="193"/>
        <v>0</v>
      </c>
      <c r="AJ235" s="12"/>
    </row>
    <row r="236" spans="1:36" ht="25.95" customHeight="1" x14ac:dyDescent="0.3">
      <c r="A236" s="90" t="s">
        <v>164</v>
      </c>
      <c r="B236" s="32">
        <v>1118989</v>
      </c>
      <c r="C236" s="83" t="s">
        <v>165</v>
      </c>
      <c r="D236" s="93" t="str">
        <f>IF(W236&gt;0,"zwrócone","")</f>
        <v/>
      </c>
      <c r="E236" s="22">
        <f>4128.04+516.3</f>
        <v>4644.34</v>
      </c>
      <c r="F236" s="22" t="s">
        <v>158</v>
      </c>
      <c r="G236" s="24" t="s">
        <v>196</v>
      </c>
      <c r="H236" s="23">
        <v>46827</v>
      </c>
      <c r="I236" s="46">
        <v>0.3</v>
      </c>
      <c r="J236" s="46" t="s">
        <v>206</v>
      </c>
      <c r="K236" s="6" t="s">
        <v>203</v>
      </c>
      <c r="L236" s="25"/>
      <c r="M236" s="25"/>
      <c r="N236" s="25"/>
      <c r="O236" s="25"/>
      <c r="P236" s="25"/>
      <c r="Q236" s="25"/>
      <c r="R236" s="25"/>
      <c r="S236" s="27">
        <f t="shared" si="189"/>
        <v>4644.34</v>
      </c>
      <c r="T236" s="28"/>
      <c r="U236" s="28"/>
      <c r="V236" s="28"/>
      <c r="W236" s="8"/>
      <c r="X236" s="28"/>
      <c r="Y236" s="28"/>
      <c r="Z236" s="28"/>
      <c r="AA236" s="28">
        <f>S236-Z236-Y236-X236</f>
        <v>4644.34</v>
      </c>
      <c r="AB236" s="28">
        <f>IF(H236-$AB$1&gt;365,AA236,0)</f>
        <v>4644.34</v>
      </c>
      <c r="AC236" s="28">
        <f>IF(H236-$AB$1&lt;=365,AA236,0)</f>
        <v>0</v>
      </c>
      <c r="AD236" s="28">
        <f>IF(H236="",AA236,0)</f>
        <v>0</v>
      </c>
      <c r="AE236" s="28">
        <f>IF(AND(H236-$AB$1&gt;365,H236-$AB$1&lt;=730),AB236,0)</f>
        <v>0</v>
      </c>
      <c r="AF236" s="28">
        <f>IF(AND(H236-$AB$1&gt;730,H236-$AB$1&lt;=1095),AB236,0)</f>
        <v>4644.34</v>
      </c>
      <c r="AG236" s="28">
        <f>IF(AND(H236-$AB$1&gt;1095,H236-$AB$1&lt;=1825),AB236,0)</f>
        <v>0</v>
      </c>
      <c r="AH236" s="28">
        <f>IF(H236-$AB$1&gt;1825,AB236,0)</f>
        <v>0</v>
      </c>
      <c r="AJ236" s="12"/>
    </row>
    <row r="237" spans="1:36" ht="14.4" customHeight="1" x14ac:dyDescent="0.3">
      <c r="A237" s="115"/>
      <c r="B237" s="116"/>
      <c r="C237" s="117"/>
      <c r="D237" s="118" t="str">
        <f>IF(W237&gt;0,"zwrócone","")</f>
        <v/>
      </c>
      <c r="E237" s="31">
        <f>SUBTOTAL(9,E236:E236)</f>
        <v>4644.34</v>
      </c>
      <c r="F237" s="31"/>
      <c r="G237" s="119"/>
      <c r="H237" s="120"/>
      <c r="I237" s="115"/>
      <c r="J237" s="115"/>
      <c r="K237" s="115"/>
      <c r="L237" s="31">
        <f t="shared" ref="L237:Q237" si="194">SUBTOTAL(9,L236:L236)</f>
        <v>0</v>
      </c>
      <c r="M237" s="31">
        <f t="shared" si="194"/>
        <v>0</v>
      </c>
      <c r="N237" s="31">
        <f t="shared" si="194"/>
        <v>0</v>
      </c>
      <c r="O237" s="31">
        <f t="shared" si="194"/>
        <v>0</v>
      </c>
      <c r="P237" s="31">
        <f t="shared" si="194"/>
        <v>0</v>
      </c>
      <c r="Q237" s="31">
        <f t="shared" si="194"/>
        <v>0</v>
      </c>
      <c r="R237" s="31"/>
      <c r="S237" s="31">
        <f t="shared" si="189"/>
        <v>4644.34</v>
      </c>
      <c r="T237" s="31" t="e">
        <f>SUBTOTAL(9,#REF!)</f>
        <v>#REF!</v>
      </c>
      <c r="U237" s="31" t="e">
        <f>SUBTOTAL(9,#REF!)</f>
        <v>#REF!</v>
      </c>
      <c r="V237" s="31" t="e">
        <f>SUBTOTAL(9,#REF!)</f>
        <v>#REF!</v>
      </c>
      <c r="W237" s="31"/>
      <c r="X237" s="31">
        <f t="shared" ref="X237:AH237" si="195">SUBTOTAL(9,X236:X236)</f>
        <v>0</v>
      </c>
      <c r="Y237" s="31">
        <f t="shared" si="195"/>
        <v>0</v>
      </c>
      <c r="Z237" s="31">
        <f t="shared" si="195"/>
        <v>0</v>
      </c>
      <c r="AA237" s="31">
        <f t="shared" si="195"/>
        <v>4644.34</v>
      </c>
      <c r="AB237" s="31">
        <f t="shared" si="195"/>
        <v>4644.34</v>
      </c>
      <c r="AC237" s="31">
        <f t="shared" si="195"/>
        <v>0</v>
      </c>
      <c r="AD237" s="31">
        <f t="shared" si="195"/>
        <v>0</v>
      </c>
      <c r="AE237" s="31">
        <f t="shared" si="195"/>
        <v>0</v>
      </c>
      <c r="AF237" s="31">
        <f t="shared" si="195"/>
        <v>4644.34</v>
      </c>
      <c r="AG237" s="31">
        <f t="shared" si="195"/>
        <v>0</v>
      </c>
      <c r="AH237" s="31">
        <f t="shared" si="195"/>
        <v>0</v>
      </c>
      <c r="AJ237" s="12"/>
    </row>
    <row r="238" spans="1:36" ht="18.600000000000001" customHeight="1" x14ac:dyDescent="0.3">
      <c r="A238" s="90" t="s">
        <v>68</v>
      </c>
      <c r="B238" s="32">
        <v>1119224</v>
      </c>
      <c r="C238" s="83" t="s">
        <v>69</v>
      </c>
      <c r="D238" s="93" t="str">
        <f t="shared" si="191"/>
        <v/>
      </c>
      <c r="E238" s="22">
        <f>64200*30%</f>
        <v>19260</v>
      </c>
      <c r="F238" s="22"/>
      <c r="G238" s="24">
        <v>43909</v>
      </c>
      <c r="H238" s="23">
        <v>46189</v>
      </c>
      <c r="I238" s="46">
        <v>0.3</v>
      </c>
      <c r="J238" s="46" t="s">
        <v>257</v>
      </c>
      <c r="K238" s="6" t="s">
        <v>203</v>
      </c>
      <c r="L238" s="25"/>
      <c r="M238" s="25">
        <v>3.74</v>
      </c>
      <c r="N238" s="25">
        <v>7.2</v>
      </c>
      <c r="O238" s="25">
        <v>968.58</v>
      </c>
      <c r="P238" s="25">
        <f>ROUND(((E238*6.01%)/365)*365,2)</f>
        <v>1157.53</v>
      </c>
      <c r="Q238" s="25">
        <f>ROUND((E238*5.31%),2)</f>
        <v>1022.71</v>
      </c>
      <c r="R238" s="25"/>
      <c r="S238" s="27">
        <f t="shared" si="189"/>
        <v>22419.760000000002</v>
      </c>
      <c r="T238" s="28">
        <f>IF(H238-$T$1&gt;365,S238,0)</f>
        <v>0</v>
      </c>
      <c r="U238" s="28">
        <f>IF(H238-$T$1&lt;365,S238,0)</f>
        <v>22419.760000000002</v>
      </c>
      <c r="V238" s="28">
        <f>IF(H238="",S238,0)</f>
        <v>0</v>
      </c>
      <c r="W238" s="8"/>
      <c r="X238" s="28"/>
      <c r="Y238" s="28"/>
      <c r="Z238" s="28"/>
      <c r="AA238" s="28">
        <f>S238-Z238-Y238-X238</f>
        <v>22419.760000000002</v>
      </c>
      <c r="AB238" s="28">
        <f>IF(H238-$AB$1&gt;365,AA238,0)</f>
        <v>0</v>
      </c>
      <c r="AC238" s="28">
        <f>IF(H238-$AB$1&lt;=365,AA238,0)</f>
        <v>22419.760000000002</v>
      </c>
      <c r="AD238" s="28">
        <f>IF(H238="",AA238,0)</f>
        <v>0</v>
      </c>
      <c r="AE238" s="28">
        <f>IF(AND(H238-$AB$1&gt;365,H238-$AB$1&lt;=730),AB238,0)</f>
        <v>0</v>
      </c>
      <c r="AF238" s="28">
        <f>IF(AND(H238-$AB$1&gt;730,H238-$AB$1&lt;=1095),AB238,0)</f>
        <v>0</v>
      </c>
      <c r="AG238" s="28">
        <f>IF(AND(H238-$AB$1&gt;1095,H238-$AB$1&lt;=1825),AB238,0)</f>
        <v>0</v>
      </c>
      <c r="AH238" s="28">
        <f>IF(H238-$AB$1&gt;1825,AB238,0)</f>
        <v>0</v>
      </c>
    </row>
    <row r="239" spans="1:36" ht="18.600000000000001" customHeight="1" x14ac:dyDescent="0.3">
      <c r="A239" s="115"/>
      <c r="B239" s="116"/>
      <c r="C239" s="117"/>
      <c r="D239" s="118" t="str">
        <f t="shared" si="191"/>
        <v/>
      </c>
      <c r="E239" s="31">
        <f>SUBTOTAL(9,E238:E238)</f>
        <v>19260</v>
      </c>
      <c r="F239" s="31"/>
      <c r="G239" s="119"/>
      <c r="H239" s="120"/>
      <c r="I239" s="115"/>
      <c r="J239" s="115"/>
      <c r="K239" s="115"/>
      <c r="L239" s="31">
        <f t="shared" ref="L239:Q239" si="196">SUBTOTAL(9,L238:L238)</f>
        <v>0</v>
      </c>
      <c r="M239" s="31">
        <f t="shared" si="196"/>
        <v>3.74</v>
      </c>
      <c r="N239" s="31">
        <f t="shared" si="196"/>
        <v>7.2</v>
      </c>
      <c r="O239" s="31">
        <f t="shared" si="196"/>
        <v>968.58</v>
      </c>
      <c r="P239" s="31">
        <f t="shared" si="196"/>
        <v>1157.53</v>
      </c>
      <c r="Q239" s="31">
        <f t="shared" si="196"/>
        <v>1022.71</v>
      </c>
      <c r="R239" s="31"/>
      <c r="S239" s="31">
        <f t="shared" si="189"/>
        <v>22419.760000000002</v>
      </c>
      <c r="T239" s="31">
        <f>SUBTOTAL(9,T238:T238)</f>
        <v>0</v>
      </c>
      <c r="U239" s="31">
        <f>SUBTOTAL(9,U238:U238)</f>
        <v>22419.760000000002</v>
      </c>
      <c r="V239" s="31">
        <f>SUBTOTAL(9,V238:V238)</f>
        <v>0</v>
      </c>
      <c r="W239" s="31"/>
      <c r="X239" s="31">
        <f t="shared" ref="X239:AH239" si="197">SUBTOTAL(9,X238:X238)</f>
        <v>0</v>
      </c>
      <c r="Y239" s="31">
        <f t="shared" si="197"/>
        <v>0</v>
      </c>
      <c r="Z239" s="31">
        <f t="shared" si="197"/>
        <v>0</v>
      </c>
      <c r="AA239" s="31">
        <f t="shared" si="197"/>
        <v>22419.760000000002</v>
      </c>
      <c r="AB239" s="31">
        <f t="shared" si="197"/>
        <v>0</v>
      </c>
      <c r="AC239" s="31">
        <f t="shared" si="197"/>
        <v>22419.760000000002</v>
      </c>
      <c r="AD239" s="31">
        <f t="shared" si="197"/>
        <v>0</v>
      </c>
      <c r="AE239" s="31">
        <f t="shared" si="197"/>
        <v>0</v>
      </c>
      <c r="AF239" s="31">
        <f t="shared" si="197"/>
        <v>0</v>
      </c>
      <c r="AG239" s="31">
        <f t="shared" si="197"/>
        <v>0</v>
      </c>
      <c r="AH239" s="31">
        <f t="shared" si="197"/>
        <v>0</v>
      </c>
      <c r="AJ239" s="12"/>
    </row>
    <row r="240" spans="1:36" ht="18" customHeight="1" x14ac:dyDescent="0.3">
      <c r="A240" s="6" t="s">
        <v>406</v>
      </c>
      <c r="B240" s="20">
        <v>1123765</v>
      </c>
      <c r="C240" s="83" t="s">
        <v>407</v>
      </c>
      <c r="D240" s="93"/>
      <c r="E240" s="22">
        <v>4900</v>
      </c>
      <c r="F240" s="22" t="s">
        <v>158</v>
      </c>
      <c r="G240" s="24">
        <v>45849</v>
      </c>
      <c r="H240" s="23">
        <v>46021</v>
      </c>
      <c r="I240" s="46">
        <v>0.7</v>
      </c>
      <c r="J240" s="46" t="s">
        <v>206</v>
      </c>
      <c r="K240" s="46" t="s">
        <v>204</v>
      </c>
      <c r="L240" s="25"/>
      <c r="M240" s="25"/>
      <c r="N240" s="25"/>
      <c r="O240" s="25"/>
      <c r="P240" s="25"/>
      <c r="Q240" s="25"/>
      <c r="R240" s="25"/>
      <c r="S240" s="27">
        <f t="shared" ref="S240:S242" si="198">E240+L240+M240+N240+P240+O240+Q240+R240</f>
        <v>4900</v>
      </c>
      <c r="T240" s="28">
        <f>IF(H240-$T$1&gt;365,S240,0)</f>
        <v>0</v>
      </c>
      <c r="U240" s="28">
        <f>IF(H240-$T$1&lt;365,S240,0)</f>
        <v>4900</v>
      </c>
      <c r="V240" s="28">
        <f>IF(H240="",S240,0)</f>
        <v>0</v>
      </c>
      <c r="W240" s="8"/>
      <c r="X240" s="28"/>
      <c r="Y240" s="28"/>
      <c r="Z240" s="28"/>
      <c r="AA240" s="28">
        <f>S240-Z240-Y240-X240</f>
        <v>4900</v>
      </c>
      <c r="AB240" s="28">
        <f>IF(H240-$AB$1&gt;365,AA240,0)</f>
        <v>0</v>
      </c>
      <c r="AC240" s="28">
        <f>IF(H240-$AB$1&lt;=365,AA240,0)</f>
        <v>4900</v>
      </c>
      <c r="AD240" s="28">
        <f>IF(H240="",AA240,0)</f>
        <v>0</v>
      </c>
      <c r="AE240" s="28">
        <f>IF(AND(H240-$AB$1&gt;365,H240-$AB$1&lt;=730),AB240,0)</f>
        <v>0</v>
      </c>
      <c r="AF240" s="28">
        <f>IF(AND(H240-$AB$1&gt;730,H240-$AB$1&lt;=1095),AB240,0)</f>
        <v>0</v>
      </c>
      <c r="AG240" s="28">
        <f>IF(AND(H240-$AB$1&gt;1095,H240-$AB$1&lt;=1825),AB240,0)</f>
        <v>0</v>
      </c>
      <c r="AH240" s="28">
        <f>IF(H240-$AB$1&gt;1825,AB240,0)</f>
        <v>0</v>
      </c>
      <c r="AJ240" s="12"/>
    </row>
    <row r="241" spans="1:36" ht="18" customHeight="1" x14ac:dyDescent="0.3">
      <c r="A241" s="6" t="s">
        <v>406</v>
      </c>
      <c r="B241" s="20">
        <v>1123765</v>
      </c>
      <c r="C241" s="83" t="s">
        <v>407</v>
      </c>
      <c r="D241" s="93"/>
      <c r="E241" s="22">
        <v>2100</v>
      </c>
      <c r="F241" s="22" t="s">
        <v>158</v>
      </c>
      <c r="G241" s="24">
        <v>45849</v>
      </c>
      <c r="H241" s="24">
        <v>46691</v>
      </c>
      <c r="I241" s="46">
        <v>0.3</v>
      </c>
      <c r="J241" s="46" t="s">
        <v>206</v>
      </c>
      <c r="K241" s="46" t="s">
        <v>204</v>
      </c>
      <c r="L241" s="25"/>
      <c r="M241" s="25"/>
      <c r="N241" s="25"/>
      <c r="O241" s="25"/>
      <c r="P241" s="25"/>
      <c r="Q241" s="25"/>
      <c r="R241" s="25"/>
      <c r="S241" s="27">
        <f t="shared" si="198"/>
        <v>2100</v>
      </c>
      <c r="T241" s="28"/>
      <c r="U241" s="28"/>
      <c r="V241" s="28"/>
      <c r="W241" s="8"/>
      <c r="X241" s="28"/>
      <c r="Y241" s="28"/>
      <c r="Z241" s="28"/>
      <c r="AA241" s="28">
        <f>S241-Z241-Y241-X241</f>
        <v>2100</v>
      </c>
      <c r="AB241" s="28">
        <f>IF(H241-$AB$1&gt;365,AA241,0)</f>
        <v>2100</v>
      </c>
      <c r="AC241" s="28">
        <f>IF(H241-$AB$1&lt;=365,AA241,0)</f>
        <v>0</v>
      </c>
      <c r="AD241" s="28">
        <f>IF(H241="",AA241,0)</f>
        <v>0</v>
      </c>
      <c r="AE241" s="28">
        <f>IF(AND(H241-$AB$1&gt;365,H241-$AB$1&lt;=730),AB241,0)</f>
        <v>0</v>
      </c>
      <c r="AF241" s="28">
        <f>IF(AND(H241-$AB$1&gt;730,H241-$AB$1&lt;=1095),AB241,0)</f>
        <v>2100</v>
      </c>
      <c r="AG241" s="28">
        <f>IF(AND(H241-$AB$1&gt;1095,H241-$AB$1&lt;=1825),AB241,0)</f>
        <v>0</v>
      </c>
      <c r="AH241" s="28">
        <f>IF(H241-$AB$1&gt;1825,AB241,0)</f>
        <v>0</v>
      </c>
      <c r="AJ241" s="12"/>
    </row>
    <row r="242" spans="1:36" ht="18" customHeight="1" x14ac:dyDescent="0.3">
      <c r="A242" s="115"/>
      <c r="B242" s="116"/>
      <c r="C242" s="117"/>
      <c r="D242" s="118" t="str">
        <f t="shared" si="191"/>
        <v/>
      </c>
      <c r="E242" s="31">
        <f>SUBTOTAL(9,E240:E241)</f>
        <v>7000</v>
      </c>
      <c r="F242" s="31"/>
      <c r="G242" s="31"/>
      <c r="H242" s="31"/>
      <c r="I242" s="31"/>
      <c r="J242" s="31"/>
      <c r="K242" s="31"/>
      <c r="L242" s="31">
        <f t="shared" ref="L242:Q242" si="199">SUBTOTAL(9,L240:L241)</f>
        <v>0</v>
      </c>
      <c r="M242" s="31">
        <f t="shared" si="199"/>
        <v>0</v>
      </c>
      <c r="N242" s="31">
        <f t="shared" si="199"/>
        <v>0</v>
      </c>
      <c r="O242" s="31">
        <f t="shared" si="199"/>
        <v>0</v>
      </c>
      <c r="P242" s="31">
        <f t="shared" si="199"/>
        <v>0</v>
      </c>
      <c r="Q242" s="31">
        <f t="shared" si="199"/>
        <v>0</v>
      </c>
      <c r="R242" s="31"/>
      <c r="S242" s="31">
        <f t="shared" si="198"/>
        <v>7000</v>
      </c>
      <c r="T242" s="31">
        <f>SUBTOTAL(9,T240:T240)</f>
        <v>0</v>
      </c>
      <c r="U242" s="31">
        <f>SUBTOTAL(9,U240:U240)</f>
        <v>4900</v>
      </c>
      <c r="V242" s="31">
        <f>SUBTOTAL(9,V240:V240)</f>
        <v>0</v>
      </c>
      <c r="W242" s="31"/>
      <c r="X242" s="31">
        <f t="shared" ref="X242:AH242" si="200">SUBTOTAL(9,X240:X241)</f>
        <v>0</v>
      </c>
      <c r="Y242" s="31">
        <f t="shared" si="200"/>
        <v>0</v>
      </c>
      <c r="Z242" s="31">
        <f t="shared" si="200"/>
        <v>0</v>
      </c>
      <c r="AA242" s="31">
        <f t="shared" si="200"/>
        <v>7000</v>
      </c>
      <c r="AB242" s="31">
        <f t="shared" si="200"/>
        <v>2100</v>
      </c>
      <c r="AC242" s="31">
        <f t="shared" si="200"/>
        <v>4900</v>
      </c>
      <c r="AD242" s="31">
        <f t="shared" si="200"/>
        <v>0</v>
      </c>
      <c r="AE242" s="31">
        <f t="shared" si="200"/>
        <v>0</v>
      </c>
      <c r="AF242" s="31">
        <f t="shared" si="200"/>
        <v>2100</v>
      </c>
      <c r="AG242" s="31">
        <f t="shared" si="200"/>
        <v>0</v>
      </c>
      <c r="AH242" s="31">
        <f t="shared" si="200"/>
        <v>0</v>
      </c>
      <c r="AJ242" s="12"/>
    </row>
    <row r="243" spans="1:36" ht="18.600000000000001" customHeight="1" x14ac:dyDescent="0.3">
      <c r="A243" s="6" t="s">
        <v>146</v>
      </c>
      <c r="B243" s="20">
        <v>1127726</v>
      </c>
      <c r="C243" s="83" t="s">
        <v>147</v>
      </c>
      <c r="D243" s="93" t="str">
        <f t="shared" si="191"/>
        <v/>
      </c>
      <c r="E243" s="22">
        <v>506.34</v>
      </c>
      <c r="F243" s="22"/>
      <c r="G243" s="24">
        <v>44813</v>
      </c>
      <c r="H243" s="23">
        <v>46288</v>
      </c>
      <c r="I243" s="46">
        <v>0.3</v>
      </c>
      <c r="J243" s="46"/>
      <c r="K243" s="6" t="s">
        <v>198</v>
      </c>
      <c r="L243" s="53"/>
      <c r="M243" s="53"/>
      <c r="N243" s="53"/>
      <c r="O243" s="53"/>
      <c r="P243" s="25"/>
      <c r="Q243" s="25"/>
      <c r="R243" s="25"/>
      <c r="S243" s="27">
        <f t="shared" si="189"/>
        <v>506.34</v>
      </c>
      <c r="T243" s="28">
        <f>IF(H243-$T$1&gt;365,S243,0)</f>
        <v>0</v>
      </c>
      <c r="U243" s="28">
        <f>IF(H243-$T$1&lt;365,S243,0)</f>
        <v>506.34</v>
      </c>
      <c r="V243" s="28">
        <f>IF(H243="",S243,0)</f>
        <v>0</v>
      </c>
      <c r="W243" s="37"/>
      <c r="X243" s="22"/>
      <c r="Y243" s="22"/>
      <c r="Z243" s="22"/>
      <c r="AA243" s="28">
        <f>S243-Z243-Y243-X243</f>
        <v>506.34</v>
      </c>
      <c r="AB243" s="28">
        <f>IF(H243-$AB$1&gt;365,AA243,0)</f>
        <v>0</v>
      </c>
      <c r="AC243" s="28">
        <f>IF(H243-$AB$1&lt;=365,AA243,0)</f>
        <v>506.34</v>
      </c>
      <c r="AD243" s="28">
        <f>IF(H243="",AA243,0)</f>
        <v>0</v>
      </c>
      <c r="AE243" s="28">
        <f>IF(AND(H243-$AB$1&gt;365,H243-$AB$1&lt;=730),AB243,0)</f>
        <v>0</v>
      </c>
      <c r="AF243" s="28">
        <f>IF(AND(H243-$AB$1&gt;730,H243-$AB$1&lt;=1095),AB243,0)</f>
        <v>0</v>
      </c>
      <c r="AG243" s="28">
        <f>IF(AND(H243-$AB$1&gt;1095,H243-$AB$1&lt;=1825),AB243,0)</f>
        <v>0</v>
      </c>
      <c r="AH243" s="28">
        <f>IF(H243-$AB$1&gt;1825,AB243,0)</f>
        <v>0</v>
      </c>
      <c r="AJ243" s="12"/>
    </row>
    <row r="244" spans="1:36" ht="18.600000000000001" customHeight="1" x14ac:dyDescent="0.3">
      <c r="A244" s="115"/>
      <c r="B244" s="116"/>
      <c r="C244" s="117"/>
      <c r="D244" s="118" t="str">
        <f>IF(W244&gt;0,"zwrócone","")</f>
        <v/>
      </c>
      <c r="E244" s="31">
        <f>SUBTOTAL(9,E243:E243)</f>
        <v>506.34</v>
      </c>
      <c r="F244" s="31"/>
      <c r="G244" s="132"/>
      <c r="H244" s="120"/>
      <c r="I244" s="115"/>
      <c r="J244" s="115"/>
      <c r="K244" s="115"/>
      <c r="L244" s="31">
        <f t="shared" ref="L244:T244" si="201">SUBTOTAL(9,L243:L243)</f>
        <v>0</v>
      </c>
      <c r="M244" s="31">
        <f t="shared" si="201"/>
        <v>0</v>
      </c>
      <c r="N244" s="31">
        <f t="shared" si="201"/>
        <v>0</v>
      </c>
      <c r="O244" s="31">
        <f t="shared" si="201"/>
        <v>0</v>
      </c>
      <c r="P244" s="31">
        <f t="shared" si="201"/>
        <v>0</v>
      </c>
      <c r="Q244" s="31">
        <f t="shared" si="201"/>
        <v>0</v>
      </c>
      <c r="R244" s="31"/>
      <c r="S244" s="31">
        <f t="shared" si="189"/>
        <v>506.34</v>
      </c>
      <c r="T244" s="31">
        <f t="shared" si="201"/>
        <v>0</v>
      </c>
      <c r="U244" s="31" t="e">
        <f>SUBTOTAL(9,#REF!)</f>
        <v>#REF!</v>
      </c>
      <c r="V244" s="31" t="e">
        <f>SUBTOTAL(9,#REF!)</f>
        <v>#REF!</v>
      </c>
      <c r="W244" s="31"/>
      <c r="X244" s="31" t="e">
        <f>SUBTOTAL(9,#REF!)</f>
        <v>#REF!</v>
      </c>
      <c r="Y244" s="31" t="e">
        <f>SUBTOTAL(9,#REF!)</f>
        <v>#REF!</v>
      </c>
      <c r="Z244" s="31" t="e">
        <f>SUBTOTAL(9,#REF!)</f>
        <v>#REF!</v>
      </c>
      <c r="AA244" s="31">
        <f t="shared" ref="AA244:AH244" si="202">SUBTOTAL(9,AA243:AA243)</f>
        <v>506.34</v>
      </c>
      <c r="AB244" s="31">
        <f t="shared" si="202"/>
        <v>0</v>
      </c>
      <c r="AC244" s="31">
        <f t="shared" si="202"/>
        <v>506.34</v>
      </c>
      <c r="AD244" s="31">
        <f t="shared" si="202"/>
        <v>0</v>
      </c>
      <c r="AE244" s="31">
        <f t="shared" si="202"/>
        <v>0</v>
      </c>
      <c r="AF244" s="31">
        <f t="shared" si="202"/>
        <v>0</v>
      </c>
      <c r="AG244" s="31">
        <f t="shared" si="202"/>
        <v>0</v>
      </c>
      <c r="AH244" s="31">
        <f t="shared" si="202"/>
        <v>0</v>
      </c>
      <c r="AJ244" s="12"/>
    </row>
    <row r="245" spans="1:36" ht="18.600000000000001" customHeight="1" x14ac:dyDescent="0.3">
      <c r="A245" s="173" t="s">
        <v>70</v>
      </c>
      <c r="B245" s="174">
        <v>1128511</v>
      </c>
      <c r="C245" s="175" t="s">
        <v>74</v>
      </c>
      <c r="D245" s="176" t="str">
        <f t="shared" si="191"/>
        <v/>
      </c>
      <c r="E245" s="177">
        <v>1400</v>
      </c>
      <c r="F245" s="177"/>
      <c r="G245" s="178">
        <v>44076</v>
      </c>
      <c r="H245" s="179">
        <v>46736</v>
      </c>
      <c r="I245" s="46">
        <v>0.3</v>
      </c>
      <c r="J245" s="46" t="s">
        <v>257</v>
      </c>
      <c r="K245" s="123" t="s">
        <v>194</v>
      </c>
      <c r="L245" s="25"/>
      <c r="M245" s="25"/>
      <c r="N245" s="25"/>
      <c r="O245" s="25">
        <v>70.41</v>
      </c>
      <c r="P245" s="25">
        <f>ROUND(((E245*6.01%)/365)*365,2)</f>
        <v>84.14</v>
      </c>
      <c r="Q245" s="25">
        <f t="shared" ref="Q245:Q253" si="203">ROUND((E245*5.31%),2)</f>
        <v>74.34</v>
      </c>
      <c r="R245" s="25"/>
      <c r="S245" s="27">
        <f t="shared" si="189"/>
        <v>1628.89</v>
      </c>
      <c r="T245" s="28"/>
      <c r="U245" s="28"/>
      <c r="V245" s="28"/>
      <c r="W245" s="8"/>
      <c r="X245" s="28"/>
      <c r="Y245" s="28"/>
      <c r="Z245" s="28"/>
      <c r="AA245" s="28">
        <f t="shared" ref="AA245:AA253" si="204">S245-Z245-Y245-X245</f>
        <v>1628.89</v>
      </c>
      <c r="AB245" s="28">
        <f t="shared" ref="AB245:AB253" si="205">IF(H245-$AB$1&gt;365,AA245,0)</f>
        <v>1628.89</v>
      </c>
      <c r="AC245" s="28">
        <f t="shared" ref="AC245:AC253" si="206">IF(H245-$AB$1&lt;=365,AA245,0)</f>
        <v>0</v>
      </c>
      <c r="AD245" s="28">
        <f t="shared" ref="AD245:AD253" si="207">IF(H245="",AA245,0)</f>
        <v>0</v>
      </c>
      <c r="AE245" s="28">
        <f t="shared" ref="AE245:AE253" si="208">IF(AND(H245-$AB$1&gt;365,H245-$AB$1&lt;=730),AB245,0)</f>
        <v>0</v>
      </c>
      <c r="AF245" s="28">
        <f t="shared" ref="AF245:AF253" si="209">IF(AND(H245-$AB$1&gt;730,H245-$AB$1&lt;=1095),AB245,0)</f>
        <v>1628.89</v>
      </c>
      <c r="AG245" s="28">
        <f t="shared" ref="AG245:AG253" si="210">IF(AND(H245-$AB$1&gt;1095,H245-$AB$1&lt;=1825),AB245,0)</f>
        <v>0</v>
      </c>
      <c r="AH245" s="28">
        <f t="shared" ref="AH245:AH253" si="211">IF(H245-$AB$1&gt;1825,AB245,0)</f>
        <v>0</v>
      </c>
    </row>
    <row r="246" spans="1:36" ht="18.600000000000001" customHeight="1" x14ac:dyDescent="0.3">
      <c r="A246" s="173" t="s">
        <v>70</v>
      </c>
      <c r="B246" s="174">
        <v>1128511</v>
      </c>
      <c r="C246" s="175" t="s">
        <v>74</v>
      </c>
      <c r="D246" s="176" t="str">
        <f t="shared" si="191"/>
        <v/>
      </c>
      <c r="E246" s="177">
        <v>3685.5</v>
      </c>
      <c r="F246" s="177"/>
      <c r="G246" s="178">
        <v>44943</v>
      </c>
      <c r="H246" s="179">
        <v>46736</v>
      </c>
      <c r="I246" s="46">
        <v>0.3</v>
      </c>
      <c r="J246" s="46" t="s">
        <v>257</v>
      </c>
      <c r="K246" s="123" t="s">
        <v>194</v>
      </c>
      <c r="L246" s="25"/>
      <c r="M246" s="25"/>
      <c r="N246" s="25"/>
      <c r="O246" s="25"/>
      <c r="P246" s="25">
        <f>ROUND(((E246*6%)/365)*348,2)</f>
        <v>210.83</v>
      </c>
      <c r="Q246" s="25">
        <f t="shared" si="203"/>
        <v>195.7</v>
      </c>
      <c r="R246" s="25"/>
      <c r="S246" s="27">
        <f t="shared" si="189"/>
        <v>4092.0299999999997</v>
      </c>
      <c r="T246" s="28"/>
      <c r="U246" s="28"/>
      <c r="V246" s="28"/>
      <c r="W246" s="8"/>
      <c r="X246" s="28"/>
      <c r="Y246" s="28"/>
      <c r="Z246" s="28"/>
      <c r="AA246" s="28">
        <f t="shared" si="204"/>
        <v>4092.0299999999997</v>
      </c>
      <c r="AB246" s="28">
        <f t="shared" si="205"/>
        <v>4092.0299999999997</v>
      </c>
      <c r="AC246" s="28">
        <f t="shared" si="206"/>
        <v>0</v>
      </c>
      <c r="AD246" s="28">
        <f t="shared" si="207"/>
        <v>0</v>
      </c>
      <c r="AE246" s="28">
        <f t="shared" si="208"/>
        <v>0</v>
      </c>
      <c r="AF246" s="28">
        <f t="shared" si="209"/>
        <v>4092.0299999999997</v>
      </c>
      <c r="AG246" s="28">
        <f t="shared" si="210"/>
        <v>0</v>
      </c>
      <c r="AH246" s="28">
        <f t="shared" si="211"/>
        <v>0</v>
      </c>
    </row>
    <row r="247" spans="1:36" ht="18.600000000000001" customHeight="1" x14ac:dyDescent="0.3">
      <c r="A247" s="173" t="s">
        <v>70</v>
      </c>
      <c r="B247" s="174">
        <v>1128511</v>
      </c>
      <c r="C247" s="175" t="s">
        <v>74</v>
      </c>
      <c r="D247" s="176" t="str">
        <f t="shared" si="191"/>
        <v/>
      </c>
      <c r="E247" s="177">
        <v>600</v>
      </c>
      <c r="F247" s="177"/>
      <c r="G247" s="178">
        <v>44076</v>
      </c>
      <c r="H247" s="179">
        <v>46736</v>
      </c>
      <c r="I247" s="46">
        <v>0.3</v>
      </c>
      <c r="J247" s="46" t="s">
        <v>257</v>
      </c>
      <c r="K247" s="123" t="s">
        <v>194</v>
      </c>
      <c r="L247" s="25"/>
      <c r="M247" s="25"/>
      <c r="N247" s="25"/>
      <c r="O247" s="25">
        <v>30.17</v>
      </c>
      <c r="P247" s="25">
        <f>ROUND(((E247*6.01%)/365)*365,2)</f>
        <v>36.06</v>
      </c>
      <c r="Q247" s="25">
        <f t="shared" si="203"/>
        <v>31.86</v>
      </c>
      <c r="R247" s="25"/>
      <c r="S247" s="27">
        <f t="shared" si="189"/>
        <v>698.08999999999992</v>
      </c>
      <c r="T247" s="28">
        <f>IF(H247-$T$1&gt;365,S247,0)</f>
        <v>698.08999999999992</v>
      </c>
      <c r="U247" s="28">
        <f>IF(H247-$T$1&lt;365,S247,0)</f>
        <v>0</v>
      </c>
      <c r="V247" s="28">
        <f>IF(H247="",S247,0)</f>
        <v>0</v>
      </c>
      <c r="W247" s="8"/>
      <c r="X247" s="28"/>
      <c r="Y247" s="28"/>
      <c r="Z247" s="28"/>
      <c r="AA247" s="28">
        <f t="shared" si="204"/>
        <v>698.08999999999992</v>
      </c>
      <c r="AB247" s="28">
        <f t="shared" si="205"/>
        <v>698.08999999999992</v>
      </c>
      <c r="AC247" s="28">
        <f t="shared" si="206"/>
        <v>0</v>
      </c>
      <c r="AD247" s="28">
        <f t="shared" si="207"/>
        <v>0</v>
      </c>
      <c r="AE247" s="28">
        <f t="shared" si="208"/>
        <v>0</v>
      </c>
      <c r="AF247" s="28">
        <f t="shared" si="209"/>
        <v>698.08999999999992</v>
      </c>
      <c r="AG247" s="28">
        <f t="shared" si="210"/>
        <v>0</v>
      </c>
      <c r="AH247" s="28">
        <f t="shared" si="211"/>
        <v>0</v>
      </c>
    </row>
    <row r="248" spans="1:36" ht="18.600000000000001" customHeight="1" x14ac:dyDescent="0.3">
      <c r="A248" s="173" t="s">
        <v>70</v>
      </c>
      <c r="B248" s="174">
        <v>1128511</v>
      </c>
      <c r="C248" s="175" t="s">
        <v>74</v>
      </c>
      <c r="D248" s="176" t="str">
        <f t="shared" si="191"/>
        <v/>
      </c>
      <c r="E248" s="177">
        <v>7000</v>
      </c>
      <c r="F248" s="177" t="s">
        <v>160</v>
      </c>
      <c r="G248" s="178">
        <v>44939</v>
      </c>
      <c r="H248" s="179">
        <v>46736</v>
      </c>
      <c r="I248" s="46">
        <v>0.3</v>
      </c>
      <c r="J248" s="46" t="s">
        <v>257</v>
      </c>
      <c r="K248" s="123" t="s">
        <v>194</v>
      </c>
      <c r="L248" s="25"/>
      <c r="M248" s="25"/>
      <c r="N248" s="25"/>
      <c r="O248" s="25"/>
      <c r="P248" s="25">
        <f>ROUND(((E248*6%)/365)*352,2)</f>
        <v>405.04</v>
      </c>
      <c r="Q248" s="25">
        <f t="shared" si="203"/>
        <v>371.7</v>
      </c>
      <c r="R248" s="25"/>
      <c r="S248" s="27">
        <f t="shared" si="189"/>
        <v>7776.74</v>
      </c>
      <c r="T248" s="28"/>
      <c r="U248" s="28"/>
      <c r="V248" s="28"/>
      <c r="W248" s="8"/>
      <c r="X248" s="28"/>
      <c r="Y248" s="28"/>
      <c r="Z248" s="28"/>
      <c r="AA248" s="28">
        <f t="shared" si="204"/>
        <v>7776.74</v>
      </c>
      <c r="AB248" s="28">
        <f t="shared" si="205"/>
        <v>7776.74</v>
      </c>
      <c r="AC248" s="28">
        <f t="shared" si="206"/>
        <v>0</v>
      </c>
      <c r="AD248" s="28">
        <f t="shared" si="207"/>
        <v>0</v>
      </c>
      <c r="AE248" s="28">
        <f t="shared" si="208"/>
        <v>0</v>
      </c>
      <c r="AF248" s="28">
        <f t="shared" si="209"/>
        <v>7776.74</v>
      </c>
      <c r="AG248" s="28">
        <f t="shared" si="210"/>
        <v>0</v>
      </c>
      <c r="AH248" s="28">
        <f t="shared" si="211"/>
        <v>0</v>
      </c>
    </row>
    <row r="249" spans="1:36" ht="18.600000000000001" customHeight="1" x14ac:dyDescent="0.3">
      <c r="A249" s="173" t="s">
        <v>70</v>
      </c>
      <c r="B249" s="174">
        <v>1128511</v>
      </c>
      <c r="C249" s="175" t="s">
        <v>74</v>
      </c>
      <c r="D249" s="176" t="str">
        <f t="shared" si="191"/>
        <v/>
      </c>
      <c r="E249" s="177">
        <v>8856</v>
      </c>
      <c r="F249" s="177" t="s">
        <v>158</v>
      </c>
      <c r="G249" s="178">
        <v>44944</v>
      </c>
      <c r="H249" s="179">
        <v>46736</v>
      </c>
      <c r="I249" s="46">
        <v>0.3</v>
      </c>
      <c r="J249" s="46" t="s">
        <v>257</v>
      </c>
      <c r="K249" s="123" t="s">
        <v>194</v>
      </c>
      <c r="L249" s="25"/>
      <c r="M249" s="25"/>
      <c r="N249" s="25"/>
      <c r="O249" s="25"/>
      <c r="P249" s="25">
        <f>ROUND(((E249*6%)/365)*347,2)</f>
        <v>505.16</v>
      </c>
      <c r="Q249" s="25">
        <f t="shared" si="203"/>
        <v>470.25</v>
      </c>
      <c r="R249" s="25"/>
      <c r="S249" s="27">
        <f t="shared" si="189"/>
        <v>9831.41</v>
      </c>
      <c r="T249" s="28"/>
      <c r="U249" s="28"/>
      <c r="V249" s="28"/>
      <c r="W249" s="8"/>
      <c r="X249" s="28"/>
      <c r="Y249" s="28"/>
      <c r="Z249" s="28"/>
      <c r="AA249" s="28">
        <f t="shared" si="204"/>
        <v>9831.41</v>
      </c>
      <c r="AB249" s="28">
        <f t="shared" si="205"/>
        <v>9831.41</v>
      </c>
      <c r="AC249" s="28">
        <f t="shared" si="206"/>
        <v>0</v>
      </c>
      <c r="AD249" s="28">
        <f t="shared" si="207"/>
        <v>0</v>
      </c>
      <c r="AE249" s="28">
        <f t="shared" si="208"/>
        <v>0</v>
      </c>
      <c r="AF249" s="28">
        <f t="shared" si="209"/>
        <v>9831.41</v>
      </c>
      <c r="AG249" s="28">
        <f t="shared" si="210"/>
        <v>0</v>
      </c>
      <c r="AH249" s="28">
        <f t="shared" si="211"/>
        <v>0</v>
      </c>
    </row>
    <row r="250" spans="1:36" ht="18.600000000000001" customHeight="1" x14ac:dyDescent="0.3">
      <c r="A250" s="6" t="s">
        <v>70</v>
      </c>
      <c r="B250" s="20">
        <v>1128511</v>
      </c>
      <c r="C250" s="83" t="s">
        <v>71</v>
      </c>
      <c r="D250" s="93" t="str">
        <f t="shared" si="191"/>
        <v/>
      </c>
      <c r="E250" s="22">
        <f>27260*30%</f>
        <v>8178</v>
      </c>
      <c r="F250" s="22"/>
      <c r="G250" s="24">
        <v>43956</v>
      </c>
      <c r="H250" s="23">
        <v>46096</v>
      </c>
      <c r="I250" s="46">
        <v>0.3</v>
      </c>
      <c r="J250" s="46" t="s">
        <v>257</v>
      </c>
      <c r="K250" s="123" t="s">
        <v>194</v>
      </c>
      <c r="L250" s="25"/>
      <c r="M250" s="25"/>
      <c r="N250" s="25">
        <v>0.5</v>
      </c>
      <c r="O250" s="25">
        <v>411.27</v>
      </c>
      <c r="P250" s="25">
        <f>ROUND(((E250*6.01%)/365)*365,2)</f>
        <v>491.5</v>
      </c>
      <c r="Q250" s="25">
        <f t="shared" si="203"/>
        <v>434.25</v>
      </c>
      <c r="R250" s="25"/>
      <c r="S250" s="27">
        <f t="shared" si="189"/>
        <v>9515.52</v>
      </c>
      <c r="T250" s="28">
        <f>IF(H250-$T$1&gt;365,S250,0)</f>
        <v>0</v>
      </c>
      <c r="U250" s="28">
        <f>IF(H250-$T$1&lt;365,S250,0)</f>
        <v>9515.52</v>
      </c>
      <c r="V250" s="28">
        <f>IF(H250="",S250,0)</f>
        <v>0</v>
      </c>
      <c r="W250" s="8"/>
      <c r="X250" s="28"/>
      <c r="Y250" s="28"/>
      <c r="Z250" s="28"/>
      <c r="AA250" s="28">
        <f t="shared" si="204"/>
        <v>9515.52</v>
      </c>
      <c r="AB250" s="28">
        <f t="shared" si="205"/>
        <v>0</v>
      </c>
      <c r="AC250" s="28">
        <f t="shared" si="206"/>
        <v>9515.52</v>
      </c>
      <c r="AD250" s="28">
        <f t="shared" si="207"/>
        <v>0</v>
      </c>
      <c r="AE250" s="28">
        <f t="shared" si="208"/>
        <v>0</v>
      </c>
      <c r="AF250" s="28">
        <f t="shared" si="209"/>
        <v>0</v>
      </c>
      <c r="AG250" s="28">
        <f t="shared" si="210"/>
        <v>0</v>
      </c>
      <c r="AH250" s="28">
        <f t="shared" si="211"/>
        <v>0</v>
      </c>
    </row>
    <row r="251" spans="1:36" ht="18.600000000000001" customHeight="1" x14ac:dyDescent="0.3">
      <c r="A251" s="6" t="s">
        <v>70</v>
      </c>
      <c r="B251" s="20">
        <v>1128511</v>
      </c>
      <c r="C251" s="83" t="s">
        <v>72</v>
      </c>
      <c r="D251" s="93" t="str">
        <f t="shared" si="191"/>
        <v/>
      </c>
      <c r="E251" s="22">
        <f>3192.12+291.86</f>
        <v>3483.98</v>
      </c>
      <c r="F251" s="22"/>
      <c r="G251" s="24" t="s">
        <v>126</v>
      </c>
      <c r="H251" s="23">
        <v>45976</v>
      </c>
      <c r="I251" s="46">
        <v>0.3</v>
      </c>
      <c r="J251" s="46" t="s">
        <v>257</v>
      </c>
      <c r="K251" s="123" t="s">
        <v>194</v>
      </c>
      <c r="L251" s="25"/>
      <c r="M251" s="25"/>
      <c r="N251" s="25">
        <v>0</v>
      </c>
      <c r="O251" s="25">
        <v>175.21</v>
      </c>
      <c r="P251" s="25">
        <f>ROUND(((E251*6.01%)/365)*365,2)</f>
        <v>209.39</v>
      </c>
      <c r="Q251" s="25">
        <f t="shared" si="203"/>
        <v>185</v>
      </c>
      <c r="R251" s="25"/>
      <c r="S251" s="27">
        <f t="shared" si="189"/>
        <v>4053.58</v>
      </c>
      <c r="T251" s="28">
        <f>IF(H251-$T$1&gt;365,S251,0)</f>
        <v>0</v>
      </c>
      <c r="U251" s="28">
        <f>IF(H251-$T$1&lt;365,S251,0)</f>
        <v>4053.58</v>
      </c>
      <c r="V251" s="28">
        <f>IF(H251="",S251,0)</f>
        <v>0</v>
      </c>
      <c r="W251" s="8"/>
      <c r="X251" s="28"/>
      <c r="Y251" s="28"/>
      <c r="Z251" s="28"/>
      <c r="AA251" s="28">
        <f t="shared" si="204"/>
        <v>4053.58</v>
      </c>
      <c r="AB251" s="28">
        <f t="shared" si="205"/>
        <v>0</v>
      </c>
      <c r="AC251" s="28">
        <f t="shared" si="206"/>
        <v>4053.58</v>
      </c>
      <c r="AD251" s="28">
        <f t="shared" si="207"/>
        <v>0</v>
      </c>
      <c r="AE251" s="28">
        <f t="shared" si="208"/>
        <v>0</v>
      </c>
      <c r="AF251" s="28">
        <f t="shared" si="209"/>
        <v>0</v>
      </c>
      <c r="AG251" s="28">
        <f t="shared" si="210"/>
        <v>0</v>
      </c>
      <c r="AH251" s="28">
        <f t="shared" si="211"/>
        <v>0</v>
      </c>
    </row>
    <row r="252" spans="1:36" ht="18.600000000000001" customHeight="1" x14ac:dyDescent="0.3">
      <c r="A252" s="85" t="s">
        <v>70</v>
      </c>
      <c r="B252" s="183">
        <v>1128511</v>
      </c>
      <c r="C252" s="157" t="s">
        <v>125</v>
      </c>
      <c r="D252" s="158" t="str">
        <f t="shared" si="191"/>
        <v>zwrócone</v>
      </c>
      <c r="E252" s="159">
        <f>4530+241.96+177.49</f>
        <v>4949.45</v>
      </c>
      <c r="F252" s="159"/>
      <c r="G252" s="160">
        <v>44417</v>
      </c>
      <c r="H252" s="84">
        <v>45837</v>
      </c>
      <c r="I252" s="46">
        <v>0.3</v>
      </c>
      <c r="J252" s="46" t="s">
        <v>206</v>
      </c>
      <c r="K252" s="6" t="s">
        <v>192</v>
      </c>
      <c r="L252" s="25"/>
      <c r="M252" s="25"/>
      <c r="N252" s="25"/>
      <c r="O252" s="25"/>
      <c r="P252" s="25"/>
      <c r="Q252" s="25"/>
      <c r="R252" s="25"/>
      <c r="S252" s="27">
        <f t="shared" si="189"/>
        <v>4949.45</v>
      </c>
      <c r="T252" s="28"/>
      <c r="U252" s="28"/>
      <c r="V252" s="28"/>
      <c r="W252" s="37">
        <v>45853</v>
      </c>
      <c r="X252" s="28"/>
      <c r="Y252" s="28"/>
      <c r="Z252" s="28">
        <v>4949.45</v>
      </c>
      <c r="AA252" s="28">
        <f t="shared" si="204"/>
        <v>0</v>
      </c>
      <c r="AB252" s="28">
        <f t="shared" si="205"/>
        <v>0</v>
      </c>
      <c r="AC252" s="28">
        <f t="shared" si="206"/>
        <v>0</v>
      </c>
      <c r="AD252" s="28">
        <f t="shared" si="207"/>
        <v>0</v>
      </c>
      <c r="AE252" s="28">
        <f t="shared" si="208"/>
        <v>0</v>
      </c>
      <c r="AF252" s="28">
        <f t="shared" si="209"/>
        <v>0</v>
      </c>
      <c r="AG252" s="28">
        <f t="shared" si="210"/>
        <v>0</v>
      </c>
      <c r="AH252" s="28">
        <f t="shared" si="211"/>
        <v>0</v>
      </c>
    </row>
    <row r="253" spans="1:36" ht="18.600000000000001" customHeight="1" x14ac:dyDescent="0.3">
      <c r="A253" s="6" t="s">
        <v>70</v>
      </c>
      <c r="B253" s="20">
        <v>1128511</v>
      </c>
      <c r="C253" s="83" t="s">
        <v>73</v>
      </c>
      <c r="D253" s="93" t="str">
        <f t="shared" si="191"/>
        <v/>
      </c>
      <c r="E253" s="22">
        <f>ROUND(5410*30%,2)</f>
        <v>1623</v>
      </c>
      <c r="F253" s="22"/>
      <c r="G253" s="24">
        <v>44076</v>
      </c>
      <c r="H253" s="23">
        <v>45976</v>
      </c>
      <c r="I253" s="46">
        <v>0.3</v>
      </c>
      <c r="J253" s="46" t="s">
        <v>257</v>
      </c>
      <c r="K253" s="123" t="s">
        <v>194</v>
      </c>
      <c r="L253" s="25"/>
      <c r="M253" s="25"/>
      <c r="N253" s="25"/>
      <c r="O253" s="25">
        <v>81.62</v>
      </c>
      <c r="P253" s="25">
        <f>ROUND(((E253*6.01%)/365)*365,2)</f>
        <v>97.54</v>
      </c>
      <c r="Q253" s="25">
        <f t="shared" si="203"/>
        <v>86.18</v>
      </c>
      <c r="R253" s="25"/>
      <c r="S253" s="27">
        <f t="shared" si="189"/>
        <v>1888.34</v>
      </c>
      <c r="T253" s="28">
        <f>IF(H253-$T$1&gt;365,S253,0)</f>
        <v>0</v>
      </c>
      <c r="U253" s="28">
        <f>IF(H253-$T$1&lt;365,S253,0)</f>
        <v>1888.34</v>
      </c>
      <c r="V253" s="28">
        <f>IF(H253="",S253,0)</f>
        <v>0</v>
      </c>
      <c r="W253" s="8"/>
      <c r="X253" s="28"/>
      <c r="Y253" s="28"/>
      <c r="Z253" s="28"/>
      <c r="AA253" s="28">
        <f t="shared" si="204"/>
        <v>1888.34</v>
      </c>
      <c r="AB253" s="28">
        <f t="shared" si="205"/>
        <v>0</v>
      </c>
      <c r="AC253" s="28">
        <f t="shared" si="206"/>
        <v>1888.34</v>
      </c>
      <c r="AD253" s="28">
        <f t="shared" si="207"/>
        <v>0</v>
      </c>
      <c r="AE253" s="28">
        <f t="shared" si="208"/>
        <v>0</v>
      </c>
      <c r="AF253" s="28">
        <f t="shared" si="209"/>
        <v>0</v>
      </c>
      <c r="AG253" s="28">
        <f t="shared" si="210"/>
        <v>0</v>
      </c>
      <c r="AH253" s="28">
        <f t="shared" si="211"/>
        <v>0</v>
      </c>
    </row>
    <row r="254" spans="1:36" ht="18.600000000000001" customHeight="1" x14ac:dyDescent="0.3">
      <c r="A254" s="115"/>
      <c r="B254" s="116"/>
      <c r="C254" s="117"/>
      <c r="D254" s="118" t="str">
        <f t="shared" si="191"/>
        <v/>
      </c>
      <c r="E254" s="31">
        <f>SUBTOTAL(9,E245:E253)</f>
        <v>39775.93</v>
      </c>
      <c r="F254" s="31"/>
      <c r="G254" s="119"/>
      <c r="H254" s="120"/>
      <c r="I254" s="115"/>
      <c r="J254" s="115"/>
      <c r="K254" s="115"/>
      <c r="L254" s="31">
        <f t="shared" ref="L254:V254" si="212">SUBTOTAL(9,L245:L253)</f>
        <v>0</v>
      </c>
      <c r="M254" s="31">
        <f t="shared" si="212"/>
        <v>0</v>
      </c>
      <c r="N254" s="31">
        <f t="shared" si="212"/>
        <v>0.5</v>
      </c>
      <c r="O254" s="31">
        <f t="shared" si="212"/>
        <v>768.68</v>
      </c>
      <c r="P254" s="31">
        <f t="shared" si="212"/>
        <v>2039.6599999999999</v>
      </c>
      <c r="Q254" s="31">
        <f t="shared" si="212"/>
        <v>1849.28</v>
      </c>
      <c r="R254" s="31"/>
      <c r="S254" s="31">
        <f t="shared" si="189"/>
        <v>44434.049999999996</v>
      </c>
      <c r="T254" s="31">
        <f t="shared" si="212"/>
        <v>698.08999999999992</v>
      </c>
      <c r="U254" s="31">
        <f t="shared" si="212"/>
        <v>15457.44</v>
      </c>
      <c r="V254" s="31">
        <f t="shared" si="212"/>
        <v>0</v>
      </c>
      <c r="W254" s="31"/>
      <c r="X254" s="31">
        <f t="shared" ref="X254:AH254" si="213">SUBTOTAL(9,X245:X253)</f>
        <v>0</v>
      </c>
      <c r="Y254" s="31">
        <f t="shared" si="213"/>
        <v>0</v>
      </c>
      <c r="Z254" s="31">
        <f t="shared" si="213"/>
        <v>4949.45</v>
      </c>
      <c r="AA254" s="31">
        <f t="shared" si="213"/>
        <v>39484.6</v>
      </c>
      <c r="AB254" s="31">
        <f t="shared" si="213"/>
        <v>24027.16</v>
      </c>
      <c r="AC254" s="31">
        <f t="shared" si="213"/>
        <v>15457.44</v>
      </c>
      <c r="AD254" s="31">
        <f t="shared" si="213"/>
        <v>0</v>
      </c>
      <c r="AE254" s="31">
        <f t="shared" si="213"/>
        <v>0</v>
      </c>
      <c r="AF254" s="31">
        <f t="shared" si="213"/>
        <v>24027.16</v>
      </c>
      <c r="AG254" s="31">
        <f t="shared" si="213"/>
        <v>0</v>
      </c>
      <c r="AH254" s="31">
        <f t="shared" si="213"/>
        <v>0</v>
      </c>
      <c r="AJ254" s="12"/>
    </row>
    <row r="255" spans="1:36" ht="18.600000000000001" customHeight="1" x14ac:dyDescent="0.3">
      <c r="A255" s="85" t="s">
        <v>130</v>
      </c>
      <c r="B255" s="183">
        <v>1128547</v>
      </c>
      <c r="C255" s="157" t="s">
        <v>131</v>
      </c>
      <c r="D255" s="158" t="str">
        <f t="shared" si="191"/>
        <v>zwrócone</v>
      </c>
      <c r="E255" s="159">
        <v>4377.28</v>
      </c>
      <c r="F255" s="159"/>
      <c r="G255" s="160">
        <v>44502</v>
      </c>
      <c r="H255" s="84">
        <v>46485</v>
      </c>
      <c r="I255" s="46" t="s">
        <v>184</v>
      </c>
      <c r="J255" s="6" t="s">
        <v>206</v>
      </c>
      <c r="K255" s="6" t="s">
        <v>192</v>
      </c>
      <c r="L255" s="25"/>
      <c r="M255" s="25"/>
      <c r="N255" s="25"/>
      <c r="O255" s="25"/>
      <c r="P255" s="25"/>
      <c r="Q255" s="25"/>
      <c r="R255" s="25"/>
      <c r="S255" s="27">
        <f t="shared" si="189"/>
        <v>4377.28</v>
      </c>
      <c r="T255" s="28"/>
      <c r="U255" s="28"/>
      <c r="V255" s="28"/>
      <c r="W255" s="37">
        <v>45824</v>
      </c>
      <c r="X255" s="28"/>
      <c r="Y255" s="28"/>
      <c r="Z255" s="28">
        <v>4377.28</v>
      </c>
      <c r="AA255" s="28">
        <f>S255-Z255-Y255-X255</f>
        <v>0</v>
      </c>
      <c r="AB255" s="28">
        <f>IF(H255-$AB$1&gt;365,AA255,0)</f>
        <v>0</v>
      </c>
      <c r="AC255" s="28">
        <f>IF(H255-$AB$1&lt;=365,AA255,0)</f>
        <v>0</v>
      </c>
      <c r="AD255" s="28">
        <f>IF(H255="",AA255,0)</f>
        <v>0</v>
      </c>
      <c r="AE255" s="28">
        <f>IF(AND(H255-$AB$1&gt;365,H255-$AB$1&lt;=730),AB255,0)</f>
        <v>0</v>
      </c>
      <c r="AF255" s="28">
        <f>IF(AND(H255-$AB$1&gt;730,H255-$AB$1&lt;=1095),AB255,0)</f>
        <v>0</v>
      </c>
      <c r="AG255" s="28">
        <f>IF(AND(H255-$AB$1&gt;1095,H255-$AB$1&lt;=1825),AB255,0)</f>
        <v>0</v>
      </c>
      <c r="AH255" s="28">
        <f>IF(H255-$AB$1&gt;1825,AB255,0)</f>
        <v>0</v>
      </c>
      <c r="AJ255" s="12"/>
    </row>
    <row r="256" spans="1:36" ht="18.600000000000001" customHeight="1" x14ac:dyDescent="0.3">
      <c r="A256" s="115"/>
      <c r="B256" s="116"/>
      <c r="C256" s="117"/>
      <c r="D256" s="118" t="str">
        <f>IF(W256&gt;0,"zwrócone","")</f>
        <v/>
      </c>
      <c r="E256" s="31">
        <f>SUBTOTAL(9,E255:E255)</f>
        <v>4377.28</v>
      </c>
      <c r="F256" s="31"/>
      <c r="G256" s="119"/>
      <c r="H256" s="120"/>
      <c r="I256" s="115"/>
      <c r="J256" s="115"/>
      <c r="K256" s="115"/>
      <c r="L256" s="31">
        <f t="shared" ref="L256:Q256" si="214">SUBTOTAL(9,L255:L255)</f>
        <v>0</v>
      </c>
      <c r="M256" s="31">
        <f t="shared" si="214"/>
        <v>0</v>
      </c>
      <c r="N256" s="31">
        <f t="shared" si="214"/>
        <v>0</v>
      </c>
      <c r="O256" s="31">
        <f t="shared" si="214"/>
        <v>0</v>
      </c>
      <c r="P256" s="31">
        <f t="shared" si="214"/>
        <v>0</v>
      </c>
      <c r="Q256" s="31">
        <f t="shared" si="214"/>
        <v>0</v>
      </c>
      <c r="R256" s="31"/>
      <c r="S256" s="31">
        <f t="shared" si="189"/>
        <v>4377.28</v>
      </c>
      <c r="T256" s="31" t="e">
        <f>SUBTOTAL(9,#REF!)</f>
        <v>#REF!</v>
      </c>
      <c r="U256" s="31" t="e">
        <f>SUBTOTAL(9,#REF!)</f>
        <v>#REF!</v>
      </c>
      <c r="V256" s="31" t="e">
        <f>SUBTOTAL(9,#REF!)</f>
        <v>#REF!</v>
      </c>
      <c r="W256" s="31"/>
      <c r="X256" s="31">
        <f t="shared" ref="X256:AH256" si="215">SUBTOTAL(9,X255:X255)</f>
        <v>0</v>
      </c>
      <c r="Y256" s="31">
        <f t="shared" si="215"/>
        <v>0</v>
      </c>
      <c r="Z256" s="31">
        <f t="shared" si="215"/>
        <v>4377.28</v>
      </c>
      <c r="AA256" s="31">
        <f t="shared" si="215"/>
        <v>0</v>
      </c>
      <c r="AB256" s="31">
        <f t="shared" si="215"/>
        <v>0</v>
      </c>
      <c r="AC256" s="31">
        <f t="shared" si="215"/>
        <v>0</v>
      </c>
      <c r="AD256" s="31">
        <f t="shared" si="215"/>
        <v>0</v>
      </c>
      <c r="AE256" s="31">
        <f t="shared" si="215"/>
        <v>0</v>
      </c>
      <c r="AF256" s="31">
        <f t="shared" si="215"/>
        <v>0</v>
      </c>
      <c r="AG256" s="31">
        <f t="shared" si="215"/>
        <v>0</v>
      </c>
      <c r="AH256" s="31">
        <f t="shared" si="215"/>
        <v>0</v>
      </c>
      <c r="AJ256" s="12"/>
    </row>
    <row r="257" spans="1:36" ht="18.600000000000001" customHeight="1" x14ac:dyDescent="0.3">
      <c r="A257" s="6" t="s">
        <v>166</v>
      </c>
      <c r="B257" s="20">
        <v>1131425</v>
      </c>
      <c r="C257" s="83" t="s">
        <v>167</v>
      </c>
      <c r="D257" s="93" t="str">
        <f>IF(W257&gt;0,"zwrócone","")</f>
        <v/>
      </c>
      <c r="E257" s="22">
        <v>3044.2</v>
      </c>
      <c r="F257" s="22"/>
      <c r="G257" s="24">
        <v>44956</v>
      </c>
      <c r="H257" s="23">
        <v>46026</v>
      </c>
      <c r="I257" s="46">
        <v>0.3</v>
      </c>
      <c r="J257" s="46" t="s">
        <v>206</v>
      </c>
      <c r="K257" s="6" t="s">
        <v>203</v>
      </c>
      <c r="L257" s="25"/>
      <c r="M257" s="25"/>
      <c r="N257" s="25"/>
      <c r="O257" s="25"/>
      <c r="P257" s="25"/>
      <c r="Q257" s="25"/>
      <c r="R257" s="25"/>
      <c r="S257" s="27">
        <f t="shared" si="189"/>
        <v>3044.2</v>
      </c>
      <c r="T257" s="28">
        <f>IF(H257-$T$1&gt;365,S257,0)</f>
        <v>0</v>
      </c>
      <c r="U257" s="28">
        <f>IF(H257-$T$1&lt;365,S257,0)</f>
        <v>3044.2</v>
      </c>
      <c r="V257" s="28">
        <f>IF(H257="",S257,0)</f>
        <v>0</v>
      </c>
      <c r="W257" s="8"/>
      <c r="X257" s="28"/>
      <c r="Y257" s="28"/>
      <c r="Z257" s="28"/>
      <c r="AA257" s="28">
        <f>S257-Z257-Y257-X257</f>
        <v>3044.2</v>
      </c>
      <c r="AB257" s="28">
        <f>IF(H257-$AB$1&gt;365,AA257,0)</f>
        <v>0</v>
      </c>
      <c r="AC257" s="28">
        <f>IF(H257-$AB$1&lt;=365,AA257,0)</f>
        <v>3044.2</v>
      </c>
      <c r="AD257" s="28">
        <f>IF(H257="",AA257,0)</f>
        <v>0</v>
      </c>
      <c r="AE257" s="28">
        <f>IF(AND(H257-$AB$1&gt;365,H257-$AB$1&lt;=730),AB257,0)</f>
        <v>0</v>
      </c>
      <c r="AF257" s="28">
        <f>IF(AND(H257-$AB$1&gt;730,H257-$AB$1&lt;=1095),AB257,0)</f>
        <v>0</v>
      </c>
      <c r="AG257" s="28">
        <f>IF(AND(H257-$AB$1&gt;1095,H257-$AB$1&lt;=1825),AB257,0)</f>
        <v>0</v>
      </c>
      <c r="AH257" s="28">
        <f>IF(H257-$AB$1&gt;1825,AB257,0)</f>
        <v>0</v>
      </c>
      <c r="AJ257" s="12"/>
    </row>
    <row r="258" spans="1:36" ht="18.600000000000001" customHeight="1" x14ac:dyDescent="0.3">
      <c r="A258" s="115"/>
      <c r="B258" s="116"/>
      <c r="C258" s="117"/>
      <c r="D258" s="118" t="str">
        <f>IF(W258&gt;0,"zwrócone","")</f>
        <v/>
      </c>
      <c r="E258" s="31">
        <f>SUBTOTAL(9,E257:E257)</f>
        <v>3044.2</v>
      </c>
      <c r="F258" s="31"/>
      <c r="G258" s="119"/>
      <c r="H258" s="120"/>
      <c r="I258" s="115"/>
      <c r="J258" s="115"/>
      <c r="K258" s="115"/>
      <c r="L258" s="31">
        <f t="shared" ref="L258:Q258" si="216">SUBTOTAL(9,L257:L257)</f>
        <v>0</v>
      </c>
      <c r="M258" s="31">
        <f t="shared" si="216"/>
        <v>0</v>
      </c>
      <c r="N258" s="31">
        <f t="shared" si="216"/>
        <v>0</v>
      </c>
      <c r="O258" s="31">
        <f t="shared" si="216"/>
        <v>0</v>
      </c>
      <c r="P258" s="31">
        <f t="shared" si="216"/>
        <v>0</v>
      </c>
      <c r="Q258" s="31">
        <f t="shared" si="216"/>
        <v>0</v>
      </c>
      <c r="R258" s="31"/>
      <c r="S258" s="31">
        <f t="shared" si="189"/>
        <v>3044.2</v>
      </c>
      <c r="T258" s="31">
        <f>SUBTOTAL(9,T257:T257)</f>
        <v>0</v>
      </c>
      <c r="U258" s="31">
        <f>SUBTOTAL(9,U257:U257)</f>
        <v>3044.2</v>
      </c>
      <c r="V258" s="31">
        <f>SUBTOTAL(9,V257:V257)</f>
        <v>0</v>
      </c>
      <c r="W258" s="31"/>
      <c r="X258" s="31">
        <f t="shared" ref="X258:AH258" si="217">SUBTOTAL(9,X257:X257)</f>
        <v>0</v>
      </c>
      <c r="Y258" s="31">
        <f t="shared" si="217"/>
        <v>0</v>
      </c>
      <c r="Z258" s="31">
        <f t="shared" si="217"/>
        <v>0</v>
      </c>
      <c r="AA258" s="31">
        <f t="shared" si="217"/>
        <v>3044.2</v>
      </c>
      <c r="AB258" s="31">
        <f t="shared" si="217"/>
        <v>0</v>
      </c>
      <c r="AC258" s="31">
        <f t="shared" si="217"/>
        <v>3044.2</v>
      </c>
      <c r="AD258" s="31">
        <f t="shared" si="217"/>
        <v>0</v>
      </c>
      <c r="AE258" s="31">
        <f t="shared" si="217"/>
        <v>0</v>
      </c>
      <c r="AF258" s="31">
        <f t="shared" si="217"/>
        <v>0</v>
      </c>
      <c r="AG258" s="31">
        <f t="shared" si="217"/>
        <v>0</v>
      </c>
      <c r="AH258" s="31">
        <f t="shared" si="217"/>
        <v>0</v>
      </c>
      <c r="AJ258" s="12"/>
    </row>
    <row r="259" spans="1:36" ht="18.600000000000001" customHeight="1" x14ac:dyDescent="0.3">
      <c r="A259" s="6" t="s">
        <v>75</v>
      </c>
      <c r="B259" s="20">
        <v>1137872</v>
      </c>
      <c r="C259" s="83" t="s">
        <v>76</v>
      </c>
      <c r="D259" s="93" t="str">
        <f t="shared" si="191"/>
        <v/>
      </c>
      <c r="E259" s="22">
        <f>ROUND(7800.4*30%,2)</f>
        <v>2340.12</v>
      </c>
      <c r="F259" s="22"/>
      <c r="G259" s="24">
        <v>43794</v>
      </c>
      <c r="H259" s="23">
        <v>46096</v>
      </c>
      <c r="I259" s="46">
        <v>0.3</v>
      </c>
      <c r="J259" s="46" t="s">
        <v>257</v>
      </c>
      <c r="K259" s="6" t="s">
        <v>194</v>
      </c>
      <c r="L259" s="25">
        <v>2.6100000000001273</v>
      </c>
      <c r="M259" s="25">
        <v>6.42</v>
      </c>
      <c r="N259" s="25">
        <v>0.88</v>
      </c>
      <c r="O259" s="25">
        <v>117.68</v>
      </c>
      <c r="P259" s="25">
        <f>ROUND(((E259*6.01%)/365)*365,2)</f>
        <v>140.63999999999999</v>
      </c>
      <c r="Q259" s="25">
        <f>ROUND((E259*5.31%),2)</f>
        <v>124.26</v>
      </c>
      <c r="R259" s="25"/>
      <c r="S259" s="27">
        <f t="shared" si="189"/>
        <v>2732.61</v>
      </c>
      <c r="T259" s="28">
        <f>IF(H259-$T$1&gt;365,S259,0)</f>
        <v>0</v>
      </c>
      <c r="U259" s="28">
        <f>IF(H259-$T$1&lt;365,S259,0)</f>
        <v>2732.61</v>
      </c>
      <c r="V259" s="28">
        <f>IF(H259="",S259,0)</f>
        <v>0</v>
      </c>
      <c r="W259" s="8"/>
      <c r="X259" s="28"/>
      <c r="Y259" s="28"/>
      <c r="Z259" s="28"/>
      <c r="AA259" s="28">
        <f>S259-Z259-Y259-X259</f>
        <v>2732.61</v>
      </c>
      <c r="AB259" s="28">
        <f>IF(H259-$AB$1&gt;365,AA259,0)</f>
        <v>0</v>
      </c>
      <c r="AC259" s="28">
        <f>IF(H259-$AB$1&lt;=365,AA259,0)</f>
        <v>2732.61</v>
      </c>
      <c r="AD259" s="28">
        <f>IF(H259="",AA259,0)</f>
        <v>0</v>
      </c>
      <c r="AE259" s="28">
        <f>IF(AND(H259-$AB$1&gt;365,H259-$AB$1&lt;=730),AB259,0)</f>
        <v>0</v>
      </c>
      <c r="AF259" s="28">
        <f>IF(AND(H259-$AB$1&gt;730,H259-$AB$1&lt;=1095),AB259,0)</f>
        <v>0</v>
      </c>
      <c r="AG259" s="28">
        <f>IF(AND(H259-$AB$1&gt;1095,H259-$AB$1&lt;=1825),AB259,0)</f>
        <v>0</v>
      </c>
      <c r="AH259" s="28">
        <f>IF(H259-$AB$1&gt;1825,AB259,0)</f>
        <v>0</v>
      </c>
    </row>
    <row r="260" spans="1:36" ht="18.600000000000001" customHeight="1" x14ac:dyDescent="0.3">
      <c r="A260" s="115"/>
      <c r="B260" s="116"/>
      <c r="C260" s="117"/>
      <c r="D260" s="118" t="str">
        <f t="shared" si="191"/>
        <v/>
      </c>
      <c r="E260" s="31">
        <f>SUBTOTAL(9,E259:E259)</f>
        <v>2340.12</v>
      </c>
      <c r="F260" s="31"/>
      <c r="G260" s="119"/>
      <c r="H260" s="120"/>
      <c r="I260" s="115"/>
      <c r="J260" s="115"/>
      <c r="K260" s="115"/>
      <c r="L260" s="31">
        <f t="shared" ref="L260:Q260" si="218">SUBTOTAL(9,L259:L259)</f>
        <v>2.6100000000001273</v>
      </c>
      <c r="M260" s="31">
        <f t="shared" si="218"/>
        <v>6.42</v>
      </c>
      <c r="N260" s="31">
        <f t="shared" si="218"/>
        <v>0.88</v>
      </c>
      <c r="O260" s="31">
        <f t="shared" si="218"/>
        <v>117.68</v>
      </c>
      <c r="P260" s="31">
        <f t="shared" si="218"/>
        <v>140.63999999999999</v>
      </c>
      <c r="Q260" s="31">
        <f t="shared" si="218"/>
        <v>124.26</v>
      </c>
      <c r="R260" s="31"/>
      <c r="S260" s="31">
        <f t="shared" si="189"/>
        <v>2732.61</v>
      </c>
      <c r="T260" s="31">
        <f>SUBTOTAL(9,T259:T259)</f>
        <v>0</v>
      </c>
      <c r="U260" s="31">
        <f>SUBTOTAL(9,U259:U259)</f>
        <v>2732.61</v>
      </c>
      <c r="V260" s="31">
        <f>SUBTOTAL(9,V259:V259)</f>
        <v>0</v>
      </c>
      <c r="W260" s="31"/>
      <c r="X260" s="31">
        <f t="shared" ref="X260:AH260" si="219">SUBTOTAL(9,X259:X259)</f>
        <v>0</v>
      </c>
      <c r="Y260" s="31">
        <f t="shared" si="219"/>
        <v>0</v>
      </c>
      <c r="Z260" s="31">
        <f t="shared" si="219"/>
        <v>0</v>
      </c>
      <c r="AA260" s="31">
        <f t="shared" si="219"/>
        <v>2732.61</v>
      </c>
      <c r="AB260" s="31">
        <f t="shared" si="219"/>
        <v>0</v>
      </c>
      <c r="AC260" s="31">
        <f t="shared" si="219"/>
        <v>2732.61</v>
      </c>
      <c r="AD260" s="31">
        <f t="shared" si="219"/>
        <v>0</v>
      </c>
      <c r="AE260" s="31">
        <f t="shared" si="219"/>
        <v>0</v>
      </c>
      <c r="AF260" s="31">
        <f t="shared" si="219"/>
        <v>0</v>
      </c>
      <c r="AG260" s="31">
        <f t="shared" si="219"/>
        <v>0</v>
      </c>
      <c r="AH260" s="31">
        <f t="shared" si="219"/>
        <v>0</v>
      </c>
      <c r="AJ260" s="12"/>
    </row>
    <row r="261" spans="1:36" ht="18.600000000000001" customHeight="1" x14ac:dyDescent="0.3">
      <c r="A261" s="85" t="s">
        <v>235</v>
      </c>
      <c r="B261" s="183">
        <v>1146449</v>
      </c>
      <c r="C261" s="157" t="s">
        <v>236</v>
      </c>
      <c r="D261" s="158" t="str">
        <f t="shared" si="191"/>
        <v>zwrócone</v>
      </c>
      <c r="E261" s="159">
        <v>4692</v>
      </c>
      <c r="F261" s="159" t="s">
        <v>158</v>
      </c>
      <c r="G261" s="160">
        <v>45141</v>
      </c>
      <c r="H261" s="84">
        <v>45687</v>
      </c>
      <c r="I261" s="46">
        <v>1</v>
      </c>
      <c r="J261" s="46" t="s">
        <v>206</v>
      </c>
      <c r="K261" s="46" t="s">
        <v>203</v>
      </c>
      <c r="L261" s="25"/>
      <c r="M261" s="25"/>
      <c r="N261" s="25"/>
      <c r="O261" s="25"/>
      <c r="P261" s="25"/>
      <c r="Q261" s="25"/>
      <c r="R261" s="25"/>
      <c r="S261" s="27">
        <f t="shared" si="189"/>
        <v>4692</v>
      </c>
      <c r="T261" s="28">
        <f>IF(H261-$T$1&gt;365,S261,0)</f>
        <v>0</v>
      </c>
      <c r="U261" s="28">
        <f>IF(H261-$T$1&lt;365,S261,0)</f>
        <v>4692</v>
      </c>
      <c r="V261" s="28">
        <f>IF(H261="",S261,0)</f>
        <v>0</v>
      </c>
      <c r="W261" s="37">
        <v>45730</v>
      </c>
      <c r="X261" s="28"/>
      <c r="Y261" s="28"/>
      <c r="Z261" s="28">
        <v>4692</v>
      </c>
      <c r="AA261" s="28">
        <f>S261-Z261-Y261-X261</f>
        <v>0</v>
      </c>
      <c r="AB261" s="28">
        <f>IF(H261-$AB$1&gt;365,AA261,0)</f>
        <v>0</v>
      </c>
      <c r="AC261" s="28">
        <f>IF(H261-$AB$1&lt;=365,AA261,0)</f>
        <v>0</v>
      </c>
      <c r="AD261" s="28">
        <f>IF(H261="",AA261,0)</f>
        <v>0</v>
      </c>
      <c r="AE261" s="28">
        <f>IF(AND(H261-$AB$1&gt;365,H261-$AB$1&lt;=730),AB261,0)</f>
        <v>0</v>
      </c>
      <c r="AF261" s="28">
        <f>IF(AND(H261-$AB$1&gt;730,H261-$AB$1&lt;=1095),AB261,0)</f>
        <v>0</v>
      </c>
      <c r="AG261" s="28">
        <f>IF(AND(H261-$AB$1&gt;1095,H261-$AB$1&lt;=1825),AB261,0)</f>
        <v>0</v>
      </c>
      <c r="AH261" s="28">
        <f>IF(H261-$AB$1&gt;1825,AB261,0)</f>
        <v>0</v>
      </c>
      <c r="AJ261" s="12"/>
    </row>
    <row r="262" spans="1:36" ht="18.600000000000001" customHeight="1" x14ac:dyDescent="0.3">
      <c r="A262" s="85" t="s">
        <v>235</v>
      </c>
      <c r="B262" s="183">
        <v>1146449</v>
      </c>
      <c r="C262" s="157" t="s">
        <v>300</v>
      </c>
      <c r="D262" s="158" t="str">
        <f>IF(W262&gt;0,"zwrócone","")</f>
        <v>zwrócone</v>
      </c>
      <c r="E262" s="159">
        <v>7243.45</v>
      </c>
      <c r="F262" s="159" t="s">
        <v>158</v>
      </c>
      <c r="G262" s="160">
        <v>45392</v>
      </c>
      <c r="H262" s="84">
        <v>45687</v>
      </c>
      <c r="I262" s="46">
        <v>1</v>
      </c>
      <c r="J262" s="46" t="s">
        <v>206</v>
      </c>
      <c r="K262" s="46" t="s">
        <v>203</v>
      </c>
      <c r="L262" s="25"/>
      <c r="M262" s="25"/>
      <c r="N262" s="25"/>
      <c r="O262" s="25"/>
      <c r="P262" s="25"/>
      <c r="Q262" s="25"/>
      <c r="R262" s="25"/>
      <c r="S262" s="27">
        <f t="shared" si="189"/>
        <v>7243.45</v>
      </c>
      <c r="T262" s="28"/>
      <c r="U262" s="28"/>
      <c r="V262" s="28"/>
      <c r="W262" s="37">
        <v>45730</v>
      </c>
      <c r="X262" s="28"/>
      <c r="Y262" s="28"/>
      <c r="Z262" s="28">
        <v>7243.45</v>
      </c>
      <c r="AA262" s="28">
        <f>S262-Z262-Y262-X262</f>
        <v>0</v>
      </c>
      <c r="AB262" s="28">
        <f>IF(H262-$AB$1&gt;365,AA262,0)</f>
        <v>0</v>
      </c>
      <c r="AC262" s="28">
        <f>IF(H262-$AB$1&lt;=365,AA262,0)</f>
        <v>0</v>
      </c>
      <c r="AD262" s="28">
        <f>IF(H262="",AA262,0)</f>
        <v>0</v>
      </c>
      <c r="AE262" s="28">
        <f>IF(AND(H262-$AB$1&gt;365,H262-$AB$1&lt;=730),AB262,0)</f>
        <v>0</v>
      </c>
      <c r="AF262" s="28">
        <f>IF(AND(H262-$AB$1&gt;730,H262-$AB$1&lt;=1095),AB262,0)</f>
        <v>0</v>
      </c>
      <c r="AG262" s="28">
        <f>IF(AND(H262-$AB$1&gt;1095,H262-$AB$1&lt;=1825),AB262,0)</f>
        <v>0</v>
      </c>
      <c r="AH262" s="28">
        <f>IF(H262-$AB$1&gt;1825,AB262,0)</f>
        <v>0</v>
      </c>
      <c r="AJ262" s="12"/>
    </row>
    <row r="263" spans="1:36" ht="18.600000000000001" customHeight="1" x14ac:dyDescent="0.3">
      <c r="A263" s="115"/>
      <c r="B263" s="116"/>
      <c r="C263" s="117"/>
      <c r="D263" s="118" t="str">
        <f>IF(W263&gt;0,"zwrócone","")</f>
        <v/>
      </c>
      <c r="E263" s="31">
        <f>SUBTOTAL(9,E261:E262)</f>
        <v>11935.45</v>
      </c>
      <c r="F263" s="31"/>
      <c r="G263" s="31"/>
      <c r="H263" s="31"/>
      <c r="I263" s="136"/>
      <c r="J263" s="136"/>
      <c r="K263" s="136"/>
      <c r="L263" s="31">
        <f>SUBTOTAL(9,L261:L262)</f>
        <v>0</v>
      </c>
      <c r="M263" s="31">
        <f t="shared" ref="M263:AH263" si="220">SUBTOTAL(9,M261:M262)</f>
        <v>0</v>
      </c>
      <c r="N263" s="31">
        <f t="shared" si="220"/>
        <v>0</v>
      </c>
      <c r="O263" s="31">
        <f t="shared" si="220"/>
        <v>0</v>
      </c>
      <c r="P263" s="31">
        <f t="shared" si="220"/>
        <v>0</v>
      </c>
      <c r="Q263" s="31">
        <f t="shared" si="220"/>
        <v>0</v>
      </c>
      <c r="R263" s="31"/>
      <c r="S263" s="31">
        <f t="shared" si="189"/>
        <v>11935.45</v>
      </c>
      <c r="T263" s="31">
        <f t="shared" si="220"/>
        <v>0</v>
      </c>
      <c r="U263" s="31">
        <f t="shared" si="220"/>
        <v>4692</v>
      </c>
      <c r="V263" s="31">
        <f t="shared" si="220"/>
        <v>0</v>
      </c>
      <c r="W263" s="31"/>
      <c r="X263" s="31">
        <f t="shared" si="220"/>
        <v>0</v>
      </c>
      <c r="Y263" s="31">
        <f t="shared" si="220"/>
        <v>0</v>
      </c>
      <c r="Z263" s="31">
        <f t="shared" si="220"/>
        <v>11935.45</v>
      </c>
      <c r="AA263" s="31">
        <f t="shared" si="220"/>
        <v>0</v>
      </c>
      <c r="AB263" s="31">
        <f t="shared" si="220"/>
        <v>0</v>
      </c>
      <c r="AC263" s="31">
        <f t="shared" si="220"/>
        <v>0</v>
      </c>
      <c r="AD263" s="31">
        <f t="shared" si="220"/>
        <v>0</v>
      </c>
      <c r="AE263" s="31">
        <f t="shared" si="220"/>
        <v>0</v>
      </c>
      <c r="AF263" s="31">
        <f t="shared" si="220"/>
        <v>0</v>
      </c>
      <c r="AG263" s="31">
        <f t="shared" si="220"/>
        <v>0</v>
      </c>
      <c r="AH263" s="31">
        <f t="shared" si="220"/>
        <v>0</v>
      </c>
      <c r="AJ263" s="12"/>
    </row>
    <row r="264" spans="1:36" ht="18.600000000000001" customHeight="1" x14ac:dyDescent="0.3">
      <c r="A264" s="6" t="s">
        <v>129</v>
      </c>
      <c r="B264" s="20">
        <v>1151161</v>
      </c>
      <c r="C264" s="83" t="s">
        <v>326</v>
      </c>
      <c r="D264" s="93" t="str">
        <f>IF(W264&gt;0,"zwrócone","")</f>
        <v/>
      </c>
      <c r="E264" s="22">
        <v>3104.4</v>
      </c>
      <c r="F264" s="22"/>
      <c r="G264" s="24">
        <v>45554</v>
      </c>
      <c r="H264" s="23">
        <v>46683</v>
      </c>
      <c r="I264" s="46">
        <v>0.3</v>
      </c>
      <c r="J264" s="46" t="s">
        <v>206</v>
      </c>
      <c r="K264" s="46" t="s">
        <v>204</v>
      </c>
      <c r="L264" s="25"/>
      <c r="M264" s="25"/>
      <c r="N264" s="25"/>
      <c r="O264" s="25"/>
      <c r="P264" s="25"/>
      <c r="Q264" s="25"/>
      <c r="R264" s="25"/>
      <c r="S264" s="27">
        <f t="shared" si="189"/>
        <v>3104.4</v>
      </c>
      <c r="T264" s="28"/>
      <c r="U264" s="28"/>
      <c r="V264" s="28"/>
      <c r="W264" s="37"/>
      <c r="X264" s="28"/>
      <c r="Y264" s="28"/>
      <c r="Z264" s="28"/>
      <c r="AA264" s="28">
        <f>S264-Z264-Y264-X264</f>
        <v>3104.4</v>
      </c>
      <c r="AB264" s="28">
        <f>IF(H264-$AB$1&gt;365,AA264,0)</f>
        <v>3104.4</v>
      </c>
      <c r="AC264" s="28">
        <f>IF(H264-$AB$1&lt;=365,AA264,0)</f>
        <v>0</v>
      </c>
      <c r="AD264" s="28">
        <f>IF(H264="",AA264,0)</f>
        <v>0</v>
      </c>
      <c r="AE264" s="28">
        <f>IF(AND(H264-$AB$1&gt;365,H264-$AB$1&lt;=730),AB264,0)</f>
        <v>0</v>
      </c>
      <c r="AF264" s="28">
        <f>IF(AND(H264-$AB$1&gt;730,H264-$AB$1&lt;=1095),AB264,0)</f>
        <v>3104.4</v>
      </c>
      <c r="AG264" s="28">
        <f>IF(AND(H264-$AB$1&gt;1095,H264-$AB$1&lt;=1825),AB264,0)</f>
        <v>0</v>
      </c>
      <c r="AH264" s="28">
        <f>IF(H264-$AB$1&gt;1825,AB264,0)</f>
        <v>0</v>
      </c>
      <c r="AJ264" s="12"/>
    </row>
    <row r="265" spans="1:36" ht="18.600000000000001" customHeight="1" x14ac:dyDescent="0.3">
      <c r="A265" s="115"/>
      <c r="B265" s="116"/>
      <c r="C265" s="117"/>
      <c r="D265" s="118" t="str">
        <f t="shared" si="191"/>
        <v/>
      </c>
      <c r="E265" s="31">
        <f>SUBTOTAL(9,E264:E264)</f>
        <v>3104.4</v>
      </c>
      <c r="F265" s="31">
        <f t="shared" ref="F265:AH265" si="221">SUBTOTAL(9,F264:F264)</f>
        <v>0</v>
      </c>
      <c r="G265" s="31">
        <f t="shared" si="221"/>
        <v>45554</v>
      </c>
      <c r="H265" s="31">
        <f t="shared" si="221"/>
        <v>46683</v>
      </c>
      <c r="I265" s="31">
        <f t="shared" si="221"/>
        <v>0.3</v>
      </c>
      <c r="J265" s="31">
        <f t="shared" si="221"/>
        <v>0</v>
      </c>
      <c r="K265" s="31">
        <f t="shared" si="221"/>
        <v>0</v>
      </c>
      <c r="L265" s="31">
        <f t="shared" si="221"/>
        <v>0</v>
      </c>
      <c r="M265" s="31">
        <f t="shared" si="221"/>
        <v>0</v>
      </c>
      <c r="N265" s="31">
        <f t="shared" si="221"/>
        <v>0</v>
      </c>
      <c r="O265" s="31">
        <f t="shared" si="221"/>
        <v>0</v>
      </c>
      <c r="P265" s="31">
        <f t="shared" si="221"/>
        <v>0</v>
      </c>
      <c r="Q265" s="31">
        <f t="shared" si="221"/>
        <v>0</v>
      </c>
      <c r="R265" s="31">
        <f t="shared" si="221"/>
        <v>0</v>
      </c>
      <c r="S265" s="31">
        <f t="shared" si="221"/>
        <v>3104.4</v>
      </c>
      <c r="T265" s="31">
        <f t="shared" si="221"/>
        <v>0</v>
      </c>
      <c r="U265" s="31">
        <f t="shared" si="221"/>
        <v>0</v>
      </c>
      <c r="V265" s="31">
        <f t="shared" si="221"/>
        <v>0</v>
      </c>
      <c r="W265" s="31"/>
      <c r="X265" s="31">
        <f t="shared" si="221"/>
        <v>0</v>
      </c>
      <c r="Y265" s="31">
        <f t="shared" si="221"/>
        <v>0</v>
      </c>
      <c r="Z265" s="31">
        <f t="shared" si="221"/>
        <v>0</v>
      </c>
      <c r="AA265" s="31">
        <f t="shared" si="221"/>
        <v>3104.4</v>
      </c>
      <c r="AB265" s="31">
        <f t="shared" si="221"/>
        <v>3104.4</v>
      </c>
      <c r="AC265" s="31">
        <f t="shared" si="221"/>
        <v>0</v>
      </c>
      <c r="AD265" s="31">
        <f t="shared" si="221"/>
        <v>0</v>
      </c>
      <c r="AE265" s="31">
        <f t="shared" si="221"/>
        <v>0</v>
      </c>
      <c r="AF265" s="31">
        <f t="shared" si="221"/>
        <v>3104.4</v>
      </c>
      <c r="AG265" s="31">
        <f t="shared" si="221"/>
        <v>0</v>
      </c>
      <c r="AH265" s="31">
        <f t="shared" si="221"/>
        <v>0</v>
      </c>
      <c r="AJ265" s="12"/>
    </row>
    <row r="266" spans="1:36" ht="30.6" customHeight="1" x14ac:dyDescent="0.3">
      <c r="A266" s="6" t="s">
        <v>322</v>
      </c>
      <c r="B266" s="20">
        <v>1158517</v>
      </c>
      <c r="C266" s="83" t="s">
        <v>323</v>
      </c>
      <c r="D266" s="93" t="str">
        <f t="shared" si="191"/>
        <v/>
      </c>
      <c r="E266" s="22">
        <v>3888</v>
      </c>
      <c r="F266" s="22" t="s">
        <v>158</v>
      </c>
      <c r="G266" s="24">
        <v>45567</v>
      </c>
      <c r="H266" s="23">
        <v>46999</v>
      </c>
      <c r="I266" s="46">
        <v>0.3</v>
      </c>
      <c r="J266" s="46" t="s">
        <v>206</v>
      </c>
      <c r="K266" s="46" t="s">
        <v>203</v>
      </c>
      <c r="L266" s="25"/>
      <c r="M266" s="25"/>
      <c r="N266" s="25"/>
      <c r="O266" s="25"/>
      <c r="P266" s="25"/>
      <c r="Q266" s="25"/>
      <c r="R266" s="25"/>
      <c r="S266" s="27">
        <f t="shared" si="189"/>
        <v>3888</v>
      </c>
      <c r="T266" s="28"/>
      <c r="U266" s="28"/>
      <c r="V266" s="28"/>
      <c r="W266" s="8"/>
      <c r="X266" s="28"/>
      <c r="Y266" s="28"/>
      <c r="Z266" s="28"/>
      <c r="AA266" s="28">
        <f>S266-Z266-Y266-X266</f>
        <v>3888</v>
      </c>
      <c r="AB266" s="28">
        <f>IF(H266-$AB$1&gt;365,AA266,0)</f>
        <v>3888</v>
      </c>
      <c r="AC266" s="28">
        <f>IF(H266-$AB$1&lt;=365,AA266,0)</f>
        <v>0</v>
      </c>
      <c r="AD266" s="28">
        <f>IF(H266="",AA266,0)</f>
        <v>0</v>
      </c>
      <c r="AE266" s="28">
        <f>IF(AND(H266-$AB$1&gt;365,H266-$AB$1&lt;=730),AB266,0)</f>
        <v>0</v>
      </c>
      <c r="AF266" s="28">
        <f>IF(AND(H266-$AB$1&gt;730,H266-$AB$1&lt;=1095),AB266,0)</f>
        <v>3888</v>
      </c>
      <c r="AG266" s="28">
        <f>IF(AND(H266-$AB$1&gt;1095,H266-$AB$1&lt;=1825),AB266,0)</f>
        <v>0</v>
      </c>
      <c r="AH266" s="28">
        <f>IF(H266-$AB$1&gt;1825,AB266,0)</f>
        <v>0</v>
      </c>
      <c r="AJ266" s="12"/>
    </row>
    <row r="267" spans="1:36" ht="15.6" customHeight="1" x14ac:dyDescent="0.3">
      <c r="A267" s="115"/>
      <c r="B267" s="116"/>
      <c r="C267" s="117"/>
      <c r="D267" s="118"/>
      <c r="E267" s="31">
        <f>SUBTOTAL(9,E266:E266)</f>
        <v>3888</v>
      </c>
      <c r="F267" s="31">
        <f t="shared" ref="F267:AH267" si="222">SUBTOTAL(9,F266:F266)</f>
        <v>0</v>
      </c>
      <c r="G267" s="31">
        <f t="shared" si="222"/>
        <v>45567</v>
      </c>
      <c r="H267" s="31">
        <f t="shared" si="222"/>
        <v>46999</v>
      </c>
      <c r="I267" s="31">
        <f t="shared" si="222"/>
        <v>0.3</v>
      </c>
      <c r="J267" s="31">
        <f t="shared" si="222"/>
        <v>0</v>
      </c>
      <c r="K267" s="31">
        <f t="shared" si="222"/>
        <v>0</v>
      </c>
      <c r="L267" s="31">
        <f t="shared" si="222"/>
        <v>0</v>
      </c>
      <c r="M267" s="31">
        <f t="shared" si="222"/>
        <v>0</v>
      </c>
      <c r="N267" s="31">
        <f t="shared" si="222"/>
        <v>0</v>
      </c>
      <c r="O267" s="31">
        <f t="shared" si="222"/>
        <v>0</v>
      </c>
      <c r="P267" s="31">
        <f t="shared" si="222"/>
        <v>0</v>
      </c>
      <c r="Q267" s="31">
        <f t="shared" si="222"/>
        <v>0</v>
      </c>
      <c r="R267" s="31">
        <f t="shared" si="222"/>
        <v>0</v>
      </c>
      <c r="S267" s="31">
        <f t="shared" si="222"/>
        <v>3888</v>
      </c>
      <c r="T267" s="31">
        <f t="shared" si="222"/>
        <v>0</v>
      </c>
      <c r="U267" s="31">
        <f t="shared" si="222"/>
        <v>0</v>
      </c>
      <c r="V267" s="31">
        <f t="shared" si="222"/>
        <v>0</v>
      </c>
      <c r="W267" s="31"/>
      <c r="X267" s="31">
        <f t="shared" si="222"/>
        <v>0</v>
      </c>
      <c r="Y267" s="31">
        <f t="shared" si="222"/>
        <v>0</v>
      </c>
      <c r="Z267" s="31">
        <f t="shared" si="222"/>
        <v>0</v>
      </c>
      <c r="AA267" s="31">
        <f t="shared" si="222"/>
        <v>3888</v>
      </c>
      <c r="AB267" s="31">
        <f t="shared" si="222"/>
        <v>3888</v>
      </c>
      <c r="AC267" s="31">
        <f t="shared" si="222"/>
        <v>0</v>
      </c>
      <c r="AD267" s="31">
        <f t="shared" si="222"/>
        <v>0</v>
      </c>
      <c r="AE267" s="31">
        <f t="shared" si="222"/>
        <v>0</v>
      </c>
      <c r="AF267" s="31">
        <f t="shared" si="222"/>
        <v>3888</v>
      </c>
      <c r="AG267" s="31">
        <f t="shared" si="222"/>
        <v>0</v>
      </c>
      <c r="AH267" s="31">
        <f t="shared" si="222"/>
        <v>0</v>
      </c>
      <c r="AJ267" s="12"/>
    </row>
    <row r="268" spans="1:36" ht="18" customHeight="1" x14ac:dyDescent="0.3">
      <c r="A268" s="85" t="s">
        <v>132</v>
      </c>
      <c r="B268" s="183">
        <v>1165022</v>
      </c>
      <c r="C268" s="157" t="s">
        <v>133</v>
      </c>
      <c r="D268" s="158" t="str">
        <f t="shared" si="191"/>
        <v>zwrócone</v>
      </c>
      <c r="E268" s="159">
        <f>1674+83.27</f>
        <v>1757.27</v>
      </c>
      <c r="F268" s="159"/>
      <c r="G268" s="160">
        <v>44519</v>
      </c>
      <c r="H268" s="84">
        <v>46398</v>
      </c>
      <c r="I268" s="112">
        <v>0.3</v>
      </c>
      <c r="J268" s="112" t="s">
        <v>257</v>
      </c>
      <c r="K268" s="33" t="s">
        <v>195</v>
      </c>
      <c r="L268" s="25"/>
      <c r="M268" s="25"/>
      <c r="N268" s="25"/>
      <c r="O268" s="25">
        <v>87.59</v>
      </c>
      <c r="P268" s="25">
        <f>ROUND(((E268*6.01%)/365)*365,2)</f>
        <v>105.61</v>
      </c>
      <c r="Q268" s="25">
        <f>ROUND((E268*5.31%),2)</f>
        <v>93.31</v>
      </c>
      <c r="R268" s="25">
        <f>ROUND(((E268*5.2%)/365)*211,2)</f>
        <v>52.82</v>
      </c>
      <c r="S268" s="27">
        <f t="shared" si="189"/>
        <v>2096.6</v>
      </c>
      <c r="T268" s="28">
        <f>IF(H268-$T$1&gt;365,S268,0)</f>
        <v>2096.6</v>
      </c>
      <c r="U268" s="28">
        <f>IF(H268-$T$1&lt;365,S268,0)</f>
        <v>0</v>
      </c>
      <c r="V268" s="28">
        <f>IF(H268="",S268,0)</f>
        <v>0</v>
      </c>
      <c r="W268" s="37">
        <v>45869</v>
      </c>
      <c r="X268" s="28">
        <v>286.51</v>
      </c>
      <c r="Y268" s="28">
        <v>52.82</v>
      </c>
      <c r="Z268" s="28">
        <v>1757.27</v>
      </c>
      <c r="AA268" s="28">
        <f>S268-Z268-Y268-X268</f>
        <v>0</v>
      </c>
      <c r="AB268" s="28">
        <f>IF(H268-$AB$1&gt;365,AA268,0)</f>
        <v>0</v>
      </c>
      <c r="AC268" s="28">
        <f>IF(H268-$AB$1&lt;=365,AA268,0)</f>
        <v>0</v>
      </c>
      <c r="AD268" s="28">
        <f>IF(H268="",AA268,0)</f>
        <v>0</v>
      </c>
      <c r="AE268" s="28">
        <f>IF(AND(H268-$AB$1&gt;365,H268-$AB$1&lt;=730),AB268,0)</f>
        <v>0</v>
      </c>
      <c r="AF268" s="28">
        <f>IF(AND(H268-$AB$1&gt;730,H268-$AB$1&lt;=1095),AB268,0)</f>
        <v>0</v>
      </c>
      <c r="AG268" s="28">
        <f>IF(AND(H268-$AB$1&gt;1095,H268-$AB$1&lt;=1825),AB268,0)</f>
        <v>0</v>
      </c>
      <c r="AH268" s="28">
        <f>IF(H268-$AB$1&gt;1825,AB268,0)</f>
        <v>0</v>
      </c>
    </row>
    <row r="269" spans="1:36" ht="18" customHeight="1" x14ac:dyDescent="0.3">
      <c r="A269" s="6" t="s">
        <v>132</v>
      </c>
      <c r="B269" s="20">
        <v>1165022</v>
      </c>
      <c r="C269" s="83" t="s">
        <v>208</v>
      </c>
      <c r="D269" s="93" t="str">
        <f t="shared" si="191"/>
        <v/>
      </c>
      <c r="E269" s="22">
        <v>4368</v>
      </c>
      <c r="F269" s="22" t="s">
        <v>158</v>
      </c>
      <c r="G269" s="24">
        <v>45041</v>
      </c>
      <c r="H269" s="23">
        <v>46402</v>
      </c>
      <c r="I269" s="112">
        <v>0.3</v>
      </c>
      <c r="J269" s="112" t="s">
        <v>206</v>
      </c>
      <c r="K269" s="33" t="s">
        <v>195</v>
      </c>
      <c r="L269" s="25"/>
      <c r="M269" s="25"/>
      <c r="N269" s="25"/>
      <c r="O269" s="25"/>
      <c r="P269" s="25"/>
      <c r="Q269" s="25"/>
      <c r="R269" s="25"/>
      <c r="S269" s="27">
        <f t="shared" si="189"/>
        <v>4368</v>
      </c>
      <c r="T269" s="28"/>
      <c r="U269" s="28"/>
      <c r="V269" s="28"/>
      <c r="W269" s="8"/>
      <c r="X269" s="28"/>
      <c r="Y269" s="28"/>
      <c r="Z269" s="28"/>
      <c r="AA269" s="28">
        <f>S269-Z269-Y269-X269</f>
        <v>4368</v>
      </c>
      <c r="AB269" s="28">
        <f>IF(H269-$AB$1&gt;365,AA269,0)</f>
        <v>4368</v>
      </c>
      <c r="AC269" s="28">
        <f>IF(H269-$AB$1&lt;=365,AA269,0)</f>
        <v>0</v>
      </c>
      <c r="AD269" s="28">
        <f>IF(H269="",AA269,0)</f>
        <v>0</v>
      </c>
      <c r="AE269" s="28">
        <f>IF(AND(H269-$AB$1&gt;365,H269-$AB$1&lt;=730),AB269,0)</f>
        <v>4368</v>
      </c>
      <c r="AF269" s="28">
        <f>IF(AND(H269-$AB$1&gt;730,H269-$AB$1&lt;=1095),AB269,0)</f>
        <v>0</v>
      </c>
      <c r="AG269" s="28">
        <f>IF(AND(H269-$AB$1&gt;1095,H269-$AB$1&lt;=1825),AB269,0)</f>
        <v>0</v>
      </c>
      <c r="AH269" s="28">
        <f>IF(H269-$AB$1&gt;1825,AB269,0)</f>
        <v>0</v>
      </c>
      <c r="AJ269" s="12"/>
    </row>
    <row r="270" spans="1:36" ht="18" customHeight="1" x14ac:dyDescent="0.3">
      <c r="A270" s="6" t="s">
        <v>132</v>
      </c>
      <c r="B270" s="20">
        <v>1165022</v>
      </c>
      <c r="C270" s="83" t="s">
        <v>216</v>
      </c>
      <c r="D270" s="93" t="str">
        <f>IF(W270&gt;0,"zwrócone","")</f>
        <v/>
      </c>
      <c r="E270" s="22">
        <v>2747.4</v>
      </c>
      <c r="F270" s="22" t="s">
        <v>158</v>
      </c>
      <c r="G270" s="24">
        <v>45057</v>
      </c>
      <c r="H270" s="23">
        <v>46203</v>
      </c>
      <c r="I270" s="112">
        <v>0.3</v>
      </c>
      <c r="J270" s="112" t="s">
        <v>206</v>
      </c>
      <c r="K270" s="33" t="s">
        <v>195</v>
      </c>
      <c r="L270" s="25"/>
      <c r="M270" s="25"/>
      <c r="N270" s="25"/>
      <c r="O270" s="25"/>
      <c r="P270" s="25"/>
      <c r="Q270" s="25"/>
      <c r="R270" s="25"/>
      <c r="S270" s="27">
        <f t="shared" si="189"/>
        <v>2747.4</v>
      </c>
      <c r="T270" s="28"/>
      <c r="U270" s="28"/>
      <c r="V270" s="28"/>
      <c r="W270" s="37"/>
      <c r="X270" s="28"/>
      <c r="Y270" s="28"/>
      <c r="Z270" s="28"/>
      <c r="AA270" s="28">
        <f>S270-Z270-Y270-X270</f>
        <v>2747.4</v>
      </c>
      <c r="AB270" s="28">
        <f>IF(H270-$AB$1&gt;365,AA270,0)</f>
        <v>0</v>
      </c>
      <c r="AC270" s="28">
        <f>IF(H270-$AB$1&lt;=365,AA270,0)</f>
        <v>2747.4</v>
      </c>
      <c r="AD270" s="28">
        <f>IF(H270="",AA270,0)</f>
        <v>0</v>
      </c>
      <c r="AE270" s="28">
        <f>IF(AND(H270-$AB$1&gt;365,H270-$AB$1&lt;=730),AB270,0)</f>
        <v>0</v>
      </c>
      <c r="AF270" s="28">
        <f>IF(AND(H270-$AB$1&gt;730,H270-$AB$1&lt;=1095),AB270,0)</f>
        <v>0</v>
      </c>
      <c r="AG270" s="28">
        <f>IF(AND(H270-$AB$1&gt;1095,H270-$AB$1&lt;=1825),AB270,0)</f>
        <v>0</v>
      </c>
      <c r="AH270" s="28">
        <f>IF(H270-$AB$1&gt;1825,AB270,0)</f>
        <v>0</v>
      </c>
      <c r="AJ270" s="12"/>
    </row>
    <row r="271" spans="1:36" ht="18" customHeight="1" x14ac:dyDescent="0.3">
      <c r="A271" s="6" t="s">
        <v>132</v>
      </c>
      <c r="B271" s="20">
        <v>1165022</v>
      </c>
      <c r="C271" s="83" t="s">
        <v>227</v>
      </c>
      <c r="D271" s="93" t="str">
        <f>IF(W271&gt;0,"zwrócone","")</f>
        <v/>
      </c>
      <c r="E271" s="22">
        <f>1608+284.4</f>
        <v>1892.4</v>
      </c>
      <c r="F271" s="22" t="s">
        <v>158</v>
      </c>
      <c r="G271" s="24" t="s">
        <v>254</v>
      </c>
      <c r="H271" s="154">
        <v>45976</v>
      </c>
      <c r="I271" s="112">
        <v>0.3</v>
      </c>
      <c r="J271" s="112" t="s">
        <v>206</v>
      </c>
      <c r="K271" s="33" t="s">
        <v>195</v>
      </c>
      <c r="L271" s="25"/>
      <c r="M271" s="25"/>
      <c r="N271" s="25"/>
      <c r="O271" s="25"/>
      <c r="P271" s="25"/>
      <c r="Q271" s="25"/>
      <c r="R271" s="25"/>
      <c r="S271" s="27">
        <f t="shared" si="189"/>
        <v>1892.4</v>
      </c>
      <c r="T271" s="28"/>
      <c r="U271" s="28"/>
      <c r="V271" s="28"/>
      <c r="W271" s="37"/>
      <c r="X271" s="28"/>
      <c r="Y271" s="28"/>
      <c r="Z271" s="28"/>
      <c r="AA271" s="28">
        <f>S271-Z271-Y271-X271</f>
        <v>1892.4</v>
      </c>
      <c r="AB271" s="28">
        <f>IF(H271-$AB$1&gt;365,AA271,0)</f>
        <v>0</v>
      </c>
      <c r="AC271" s="28">
        <f>IF(H271-$AB$1&lt;=365,AA271,0)</f>
        <v>1892.4</v>
      </c>
      <c r="AD271" s="28">
        <f>IF(H271="",AA271,0)</f>
        <v>0</v>
      </c>
      <c r="AE271" s="28">
        <f>IF(AND(H271-$AB$1&gt;365,H271-$AB$1&lt;=730),AB271,0)</f>
        <v>0</v>
      </c>
      <c r="AF271" s="28">
        <f>IF(AND(H271-$AB$1&gt;730,H271-$AB$1&lt;=1095),AB271,0)</f>
        <v>0</v>
      </c>
      <c r="AG271" s="28">
        <f>IF(AND(H271-$AB$1&gt;1095,H271-$AB$1&lt;=1825),AB271,0)</f>
        <v>0</v>
      </c>
      <c r="AH271" s="28">
        <f>IF(H271-$AB$1&gt;1825,AB271,0)</f>
        <v>0</v>
      </c>
      <c r="AJ271" s="12"/>
    </row>
    <row r="272" spans="1:36" ht="18" customHeight="1" x14ac:dyDescent="0.3">
      <c r="A272" s="6" t="s">
        <v>132</v>
      </c>
      <c r="B272" s="20">
        <v>1165022</v>
      </c>
      <c r="C272" s="83" t="s">
        <v>149</v>
      </c>
      <c r="D272" s="93" t="str">
        <f>IF(W272&gt;0,"zwrócone","")</f>
        <v/>
      </c>
      <c r="E272" s="22">
        <f>2796+270</f>
        <v>3066</v>
      </c>
      <c r="F272" s="22"/>
      <c r="G272" s="24" t="s">
        <v>199</v>
      </c>
      <c r="H272" s="23">
        <v>46132</v>
      </c>
      <c r="I272" s="112">
        <v>0.3</v>
      </c>
      <c r="J272" s="112" t="s">
        <v>206</v>
      </c>
      <c r="K272" s="112" t="s">
        <v>195</v>
      </c>
      <c r="L272" s="25"/>
      <c r="M272" s="25"/>
      <c r="N272" s="25"/>
      <c r="O272" s="25"/>
      <c r="P272" s="25"/>
      <c r="Q272" s="25"/>
      <c r="R272" s="25"/>
      <c r="S272" s="27">
        <f t="shared" si="189"/>
        <v>3066</v>
      </c>
      <c r="T272" s="28"/>
      <c r="U272" s="28"/>
      <c r="V272" s="28"/>
      <c r="W272" s="8"/>
      <c r="X272" s="28"/>
      <c r="Y272" s="28"/>
      <c r="Z272" s="28"/>
      <c r="AA272" s="28">
        <f>S272-Z272-Y272-X272</f>
        <v>3066</v>
      </c>
      <c r="AB272" s="28">
        <f>IF(H272-$AB$1&gt;365,AA272,0)</f>
        <v>0</v>
      </c>
      <c r="AC272" s="28">
        <f>IF(H272-$AB$1&lt;=365,AA272,0)</f>
        <v>3066</v>
      </c>
      <c r="AD272" s="28">
        <f>IF(H272="",AA272,0)</f>
        <v>0</v>
      </c>
      <c r="AE272" s="28">
        <f>IF(AND(H272-$AB$1&gt;365,H272-$AB$1&lt;=730),AB272,0)</f>
        <v>0</v>
      </c>
      <c r="AF272" s="28">
        <f>IF(AND(H272-$AB$1&gt;730,H272-$AB$1&lt;=1095),AB272,0)</f>
        <v>0</v>
      </c>
      <c r="AG272" s="28">
        <f>IF(AND(H272-$AB$1&gt;1095,H272-$AB$1&lt;=1825),AB272,0)</f>
        <v>0</v>
      </c>
      <c r="AH272" s="28">
        <f>IF(H272-$AB$1&gt;1825,AB272,0)</f>
        <v>0</v>
      </c>
      <c r="AJ272" s="12"/>
    </row>
    <row r="273" spans="1:36" ht="18" customHeight="1" x14ac:dyDescent="0.3">
      <c r="A273" s="115"/>
      <c r="B273" s="116"/>
      <c r="C273" s="117"/>
      <c r="D273" s="118" t="str">
        <f t="shared" ref="D273:D286" si="223">IF(W273&gt;0,"zwrócone","")</f>
        <v/>
      </c>
      <c r="E273" s="31">
        <f>SUBTOTAL(9,E268:E272)</f>
        <v>13831.07</v>
      </c>
      <c r="F273" s="31"/>
      <c r="G273" s="119"/>
      <c r="H273" s="120"/>
      <c r="I273" s="115"/>
      <c r="J273" s="115"/>
      <c r="K273" s="115"/>
      <c r="L273" s="31">
        <f t="shared" ref="L273:V273" si="224">SUBTOTAL(9,L268:L272)</f>
        <v>0</v>
      </c>
      <c r="M273" s="31">
        <f t="shared" si="224"/>
        <v>0</v>
      </c>
      <c r="N273" s="31">
        <f t="shared" si="224"/>
        <v>0</v>
      </c>
      <c r="O273" s="31">
        <f t="shared" si="224"/>
        <v>87.59</v>
      </c>
      <c r="P273" s="31">
        <f t="shared" si="224"/>
        <v>105.61</v>
      </c>
      <c r="Q273" s="31">
        <f t="shared" si="224"/>
        <v>93.31</v>
      </c>
      <c r="R273" s="31"/>
      <c r="S273" s="31">
        <f t="shared" si="189"/>
        <v>14117.58</v>
      </c>
      <c r="T273" s="31">
        <f t="shared" si="224"/>
        <v>2096.6</v>
      </c>
      <c r="U273" s="31">
        <f t="shared" si="224"/>
        <v>0</v>
      </c>
      <c r="V273" s="31">
        <f t="shared" si="224"/>
        <v>0</v>
      </c>
      <c r="W273" s="31"/>
      <c r="X273" s="31">
        <f t="shared" ref="X273:AH273" si="225">SUBTOTAL(9,X268:X272)</f>
        <v>286.51</v>
      </c>
      <c r="Y273" s="31">
        <f t="shared" si="225"/>
        <v>52.82</v>
      </c>
      <c r="Z273" s="31">
        <f t="shared" si="225"/>
        <v>1757.27</v>
      </c>
      <c r="AA273" s="31">
        <f t="shared" si="225"/>
        <v>12073.8</v>
      </c>
      <c r="AB273" s="31">
        <f t="shared" si="225"/>
        <v>4368</v>
      </c>
      <c r="AC273" s="31">
        <f t="shared" si="225"/>
        <v>7705.8</v>
      </c>
      <c r="AD273" s="31">
        <f t="shared" si="225"/>
        <v>0</v>
      </c>
      <c r="AE273" s="31">
        <f t="shared" si="225"/>
        <v>4368</v>
      </c>
      <c r="AF273" s="31">
        <f t="shared" si="225"/>
        <v>0</v>
      </c>
      <c r="AG273" s="31">
        <f t="shared" si="225"/>
        <v>0</v>
      </c>
      <c r="AH273" s="31">
        <f t="shared" si="225"/>
        <v>0</v>
      </c>
      <c r="AJ273" s="12"/>
    </row>
    <row r="274" spans="1:36" ht="18" customHeight="1" x14ac:dyDescent="0.3">
      <c r="A274" s="85" t="s">
        <v>259</v>
      </c>
      <c r="B274" s="183">
        <v>1169596</v>
      </c>
      <c r="C274" s="157" t="s">
        <v>260</v>
      </c>
      <c r="D274" s="158" t="str">
        <f>IF(W274&gt;0,"zwrócone","")</f>
        <v>zwrócone</v>
      </c>
      <c r="E274" s="159">
        <f>2515.47+370.89</f>
        <v>2886.3599999999997</v>
      </c>
      <c r="F274" s="159"/>
      <c r="G274" s="160" t="s">
        <v>275</v>
      </c>
      <c r="H274" s="84">
        <v>45669</v>
      </c>
      <c r="I274" s="46">
        <v>0.3</v>
      </c>
      <c r="J274" s="46" t="s">
        <v>206</v>
      </c>
      <c r="K274" s="46" t="s">
        <v>204</v>
      </c>
      <c r="L274" s="25"/>
      <c r="M274" s="25"/>
      <c r="N274" s="25"/>
      <c r="O274" s="25"/>
      <c r="P274" s="25"/>
      <c r="Q274" s="25"/>
      <c r="R274" s="25"/>
      <c r="S274" s="27">
        <f t="shared" si="189"/>
        <v>2886.3599999999997</v>
      </c>
      <c r="T274" s="28">
        <f>IF(H274-$T$1&gt;365,S274,0)</f>
        <v>0</v>
      </c>
      <c r="U274" s="28">
        <f>IF(H274-$T$1&lt;365,S274,0)</f>
        <v>2886.3599999999997</v>
      </c>
      <c r="V274" s="28">
        <f>IF(H274="",S274,0)</f>
        <v>0</v>
      </c>
      <c r="W274" s="37">
        <v>45716</v>
      </c>
      <c r="X274" s="28"/>
      <c r="Y274" s="28"/>
      <c r="Z274" s="28">
        <v>2886.36</v>
      </c>
      <c r="AA274" s="28">
        <f>S274-Z274-Y274-X274</f>
        <v>-4.5474735088646412E-13</v>
      </c>
      <c r="AB274" s="28">
        <f>IF(H274-$AB$1&gt;365,AA274,0)</f>
        <v>0</v>
      </c>
      <c r="AC274" s="28">
        <f>IF(H274-$AB$1&lt;=365,AA274,0)</f>
        <v>-4.5474735088646412E-13</v>
      </c>
      <c r="AD274" s="28">
        <f>IF(H274="",AA274,0)</f>
        <v>0</v>
      </c>
      <c r="AE274" s="28">
        <f>IF(AND(H274-$AB$1&gt;365,H274-$AB$1&lt;=730),AB274,0)</f>
        <v>0</v>
      </c>
      <c r="AF274" s="28">
        <f>IF(AND(H274-$AB$1&gt;730,H274-$AB$1&lt;=1095),AB274,0)</f>
        <v>0</v>
      </c>
      <c r="AG274" s="28">
        <f>IF(AND(H274-$AB$1&gt;1095,H274-$AB$1&lt;=1825),AB274,0)</f>
        <v>0</v>
      </c>
      <c r="AH274" s="28">
        <f>IF(H274-$AB$1&gt;1825,AB274,0)</f>
        <v>0</v>
      </c>
      <c r="AJ274" s="12"/>
    </row>
    <row r="275" spans="1:36" ht="18" customHeight="1" x14ac:dyDescent="0.3">
      <c r="A275" s="115"/>
      <c r="B275" s="116"/>
      <c r="C275" s="117"/>
      <c r="D275" s="118" t="str">
        <f>IF(W275&gt;0,"zwrócone","")</f>
        <v/>
      </c>
      <c r="E275" s="31">
        <f>SUBTOTAL(9,E274:E274)</f>
        <v>2886.3599999999997</v>
      </c>
      <c r="F275" s="31"/>
      <c r="G275" s="119"/>
      <c r="H275" s="120"/>
      <c r="I275" s="115"/>
      <c r="J275" s="115"/>
      <c r="K275" s="115"/>
      <c r="L275" s="31">
        <f t="shared" ref="L275:V275" si="226">SUBTOTAL(9,L274:L274)</f>
        <v>0</v>
      </c>
      <c r="M275" s="31">
        <f t="shared" si="226"/>
        <v>0</v>
      </c>
      <c r="N275" s="31">
        <f t="shared" si="226"/>
        <v>0</v>
      </c>
      <c r="O275" s="31">
        <f t="shared" si="226"/>
        <v>0</v>
      </c>
      <c r="P275" s="31">
        <f t="shared" si="226"/>
        <v>0</v>
      </c>
      <c r="Q275" s="31">
        <f t="shared" si="226"/>
        <v>0</v>
      </c>
      <c r="R275" s="31"/>
      <c r="S275" s="31">
        <f t="shared" si="189"/>
        <v>2886.3599999999997</v>
      </c>
      <c r="T275" s="31">
        <f t="shared" si="226"/>
        <v>0</v>
      </c>
      <c r="U275" s="31">
        <f t="shared" si="226"/>
        <v>2886.3599999999997</v>
      </c>
      <c r="V275" s="31">
        <f t="shared" si="226"/>
        <v>0</v>
      </c>
      <c r="W275" s="31"/>
      <c r="X275" s="31">
        <f t="shared" ref="X275:AH275" si="227">SUBTOTAL(9,X274:X274)</f>
        <v>0</v>
      </c>
      <c r="Y275" s="31">
        <f t="shared" si="227"/>
        <v>0</v>
      </c>
      <c r="Z275" s="31">
        <f t="shared" si="227"/>
        <v>2886.36</v>
      </c>
      <c r="AA275" s="31">
        <f t="shared" si="227"/>
        <v>-4.5474735088646412E-13</v>
      </c>
      <c r="AB275" s="31">
        <f t="shared" si="227"/>
        <v>0</v>
      </c>
      <c r="AC275" s="31">
        <f t="shared" si="227"/>
        <v>-4.5474735088646412E-13</v>
      </c>
      <c r="AD275" s="31">
        <f t="shared" si="227"/>
        <v>0</v>
      </c>
      <c r="AE275" s="31">
        <f t="shared" si="227"/>
        <v>0</v>
      </c>
      <c r="AF275" s="31">
        <f t="shared" si="227"/>
        <v>0</v>
      </c>
      <c r="AG275" s="31">
        <f t="shared" si="227"/>
        <v>0</v>
      </c>
      <c r="AH275" s="31">
        <f t="shared" si="227"/>
        <v>0</v>
      </c>
      <c r="AJ275" s="12"/>
    </row>
    <row r="276" spans="1:36" ht="18" customHeight="1" x14ac:dyDescent="0.3">
      <c r="A276" s="6" t="s">
        <v>178</v>
      </c>
      <c r="B276" s="20">
        <v>1172650</v>
      </c>
      <c r="C276" s="83" t="s">
        <v>242</v>
      </c>
      <c r="D276" s="93" t="str">
        <f t="shared" si="223"/>
        <v/>
      </c>
      <c r="E276" s="22">
        <v>1832.45</v>
      </c>
      <c r="F276" s="22"/>
      <c r="G276" s="24">
        <v>45131</v>
      </c>
      <c r="H276" s="23">
        <v>47296</v>
      </c>
      <c r="I276" s="46">
        <v>0.3</v>
      </c>
      <c r="J276" s="46" t="s">
        <v>206</v>
      </c>
      <c r="K276" s="46" t="s">
        <v>192</v>
      </c>
      <c r="L276" s="25"/>
      <c r="M276" s="25"/>
      <c r="N276" s="25"/>
      <c r="O276" s="25"/>
      <c r="P276" s="25"/>
      <c r="Q276" s="25"/>
      <c r="R276" s="25"/>
      <c r="S276" s="27">
        <f t="shared" si="189"/>
        <v>1832.45</v>
      </c>
      <c r="T276" s="28">
        <f>IF(H276-$T$1&gt;365,S276,0)</f>
        <v>1832.45</v>
      </c>
      <c r="U276" s="28">
        <f>IF(H276-$T$1&lt;365,S276,0)</f>
        <v>0</v>
      </c>
      <c r="V276" s="28">
        <f>IF(H276="",S276,0)</f>
        <v>0</v>
      </c>
      <c r="W276" s="8"/>
      <c r="X276" s="28"/>
      <c r="Y276" s="28"/>
      <c r="Z276" s="28"/>
      <c r="AA276" s="28">
        <f>S276-Z276-Y276-X276</f>
        <v>1832.45</v>
      </c>
      <c r="AB276" s="28">
        <f>IF(H276-$AB$1&gt;365,AA276,0)</f>
        <v>1832.45</v>
      </c>
      <c r="AC276" s="28">
        <f>IF(H276-$AB$1&lt;=365,AA276,0)</f>
        <v>0</v>
      </c>
      <c r="AD276" s="28">
        <f>IF(H276="",AA276,0)</f>
        <v>0</v>
      </c>
      <c r="AE276" s="28">
        <f>IF(AND(H276-$AB$1&gt;365,H276-$AB$1&lt;=730),AB276,0)</f>
        <v>0</v>
      </c>
      <c r="AF276" s="28">
        <f>IF(AND(H276-$AB$1&gt;730,H276-$AB$1&lt;=1095),AB276,0)</f>
        <v>0</v>
      </c>
      <c r="AG276" s="28">
        <f>IF(AND(H276-$AB$1&gt;1095,H276-$AB$1&lt;=1825),AB276,0)</f>
        <v>1832.45</v>
      </c>
      <c r="AH276" s="28">
        <f>IF(H276-$AB$1&gt;1825,AB276,0)</f>
        <v>0</v>
      </c>
      <c r="AJ276" s="12"/>
    </row>
    <row r="277" spans="1:36" ht="18" customHeight="1" x14ac:dyDescent="0.3">
      <c r="A277" s="6" t="s">
        <v>178</v>
      </c>
      <c r="B277" s="20">
        <v>1172650</v>
      </c>
      <c r="C277" s="83" t="s">
        <v>245</v>
      </c>
      <c r="D277" s="93" t="str">
        <f t="shared" si="223"/>
        <v/>
      </c>
      <c r="E277" s="22">
        <v>3440</v>
      </c>
      <c r="F277" s="22"/>
      <c r="G277" s="24">
        <v>45132</v>
      </c>
      <c r="H277" s="24">
        <v>47467</v>
      </c>
      <c r="I277" s="46">
        <v>0.3</v>
      </c>
      <c r="J277" s="46" t="s">
        <v>206</v>
      </c>
      <c r="K277" s="46" t="s">
        <v>192</v>
      </c>
      <c r="L277" s="25"/>
      <c r="M277" s="25"/>
      <c r="N277" s="25"/>
      <c r="O277" s="25"/>
      <c r="P277" s="25"/>
      <c r="Q277" s="25"/>
      <c r="R277" s="25"/>
      <c r="S277" s="27">
        <f t="shared" si="189"/>
        <v>3440</v>
      </c>
      <c r="T277" s="28"/>
      <c r="U277" s="28"/>
      <c r="V277" s="28"/>
      <c r="W277" s="8"/>
      <c r="X277" s="28"/>
      <c r="Y277" s="28"/>
      <c r="Z277" s="28"/>
      <c r="AA277" s="28">
        <f>S277-Z277-Y277-X277</f>
        <v>3440</v>
      </c>
      <c r="AB277" s="28">
        <f>IF(H277-$AB$1&gt;365,AA277,0)</f>
        <v>3440</v>
      </c>
      <c r="AC277" s="28">
        <f>IF(H277-$AB$1&lt;=365,AA277,0)</f>
        <v>0</v>
      </c>
      <c r="AD277" s="28">
        <f>IF(H277="",AA277,0)</f>
        <v>0</v>
      </c>
      <c r="AE277" s="28">
        <f>IF(AND(H277-$AB$1&gt;365,H277-$AB$1&lt;=730),AB277,0)</f>
        <v>0</v>
      </c>
      <c r="AF277" s="28">
        <f>IF(AND(H277-$AB$1&gt;730,H277-$AB$1&lt;=1095),AB277,0)</f>
        <v>0</v>
      </c>
      <c r="AG277" s="28">
        <f>IF(AND(H277-$AB$1&gt;1095,H277-$AB$1&lt;=1825),AB277,0)</f>
        <v>3440</v>
      </c>
      <c r="AH277" s="28">
        <f>IF(H277-$AB$1&gt;1825,AB277,0)</f>
        <v>0</v>
      </c>
      <c r="AJ277" s="12"/>
    </row>
    <row r="278" spans="1:36" ht="18" customHeight="1" x14ac:dyDescent="0.3">
      <c r="A278" s="115"/>
      <c r="B278" s="116"/>
      <c r="C278" s="117"/>
      <c r="D278" s="118" t="str">
        <f t="shared" si="223"/>
        <v/>
      </c>
      <c r="E278" s="31">
        <f>SUBTOTAL(9,E276:E277)</f>
        <v>5272.45</v>
      </c>
      <c r="F278" s="31"/>
      <c r="G278" s="31"/>
      <c r="H278" s="31"/>
      <c r="I278" s="31"/>
      <c r="J278" s="31"/>
      <c r="K278" s="31"/>
      <c r="L278" s="31">
        <f t="shared" ref="L278:Q278" si="228">SUBTOTAL(9,L276:L277)</f>
        <v>0</v>
      </c>
      <c r="M278" s="31">
        <f t="shared" si="228"/>
        <v>0</v>
      </c>
      <c r="N278" s="31">
        <f t="shared" si="228"/>
        <v>0</v>
      </c>
      <c r="O278" s="31">
        <f t="shared" si="228"/>
        <v>0</v>
      </c>
      <c r="P278" s="31">
        <f t="shared" si="228"/>
        <v>0</v>
      </c>
      <c r="Q278" s="31">
        <f t="shared" si="228"/>
        <v>0</v>
      </c>
      <c r="R278" s="31"/>
      <c r="S278" s="31">
        <f t="shared" si="189"/>
        <v>5272.45</v>
      </c>
      <c r="T278" s="31">
        <f>SUBTOTAL(9,T276:T276)</f>
        <v>1832.45</v>
      </c>
      <c r="U278" s="31">
        <f>SUBTOTAL(9,U276:U276)</f>
        <v>0</v>
      </c>
      <c r="V278" s="31">
        <f>SUBTOTAL(9,V276:V276)</f>
        <v>0</v>
      </c>
      <c r="W278" s="31"/>
      <c r="X278" s="31">
        <f t="shared" ref="X278:AH278" si="229">SUBTOTAL(9,X276:X277)</f>
        <v>0</v>
      </c>
      <c r="Y278" s="31">
        <f t="shared" si="229"/>
        <v>0</v>
      </c>
      <c r="Z278" s="31">
        <f t="shared" si="229"/>
        <v>0</v>
      </c>
      <c r="AA278" s="31">
        <f t="shared" si="229"/>
        <v>5272.45</v>
      </c>
      <c r="AB278" s="31">
        <f t="shared" si="229"/>
        <v>5272.45</v>
      </c>
      <c r="AC278" s="31">
        <f t="shared" si="229"/>
        <v>0</v>
      </c>
      <c r="AD278" s="31">
        <f t="shared" si="229"/>
        <v>0</v>
      </c>
      <c r="AE278" s="31">
        <f t="shared" si="229"/>
        <v>0</v>
      </c>
      <c r="AF278" s="31">
        <f t="shared" si="229"/>
        <v>0</v>
      </c>
      <c r="AG278" s="31">
        <f t="shared" si="229"/>
        <v>5272.45</v>
      </c>
      <c r="AH278" s="31">
        <f t="shared" si="229"/>
        <v>0</v>
      </c>
      <c r="AJ278" s="12"/>
    </row>
    <row r="279" spans="1:36" ht="20.399999999999999" customHeight="1" x14ac:dyDescent="0.3">
      <c r="A279" s="6" t="s">
        <v>244</v>
      </c>
      <c r="B279" s="20">
        <v>1175061</v>
      </c>
      <c r="C279" s="83" t="s">
        <v>243</v>
      </c>
      <c r="D279" s="93" t="str">
        <f t="shared" si="223"/>
        <v/>
      </c>
      <c r="E279" s="22">
        <v>1728</v>
      </c>
      <c r="F279" s="22"/>
      <c r="G279" s="24">
        <v>45125</v>
      </c>
      <c r="H279" s="23">
        <v>46184</v>
      </c>
      <c r="I279" s="46">
        <v>0.3</v>
      </c>
      <c r="J279" s="46" t="s">
        <v>206</v>
      </c>
      <c r="K279" s="46" t="s">
        <v>203</v>
      </c>
      <c r="L279" s="25"/>
      <c r="M279" s="25"/>
      <c r="N279" s="25"/>
      <c r="O279" s="25"/>
      <c r="P279" s="25"/>
      <c r="Q279" s="25"/>
      <c r="R279" s="25"/>
      <c r="S279" s="27">
        <f t="shared" si="189"/>
        <v>1728</v>
      </c>
      <c r="T279" s="28">
        <f>IF(H279-$T$1&gt;365,S279,0)</f>
        <v>0</v>
      </c>
      <c r="U279" s="28">
        <f>IF(H279-$T$1&lt;365,S279,0)</f>
        <v>1728</v>
      </c>
      <c r="V279" s="28">
        <f>IF(H279="",S279,0)</f>
        <v>0</v>
      </c>
      <c r="W279" s="8"/>
      <c r="X279" s="28"/>
      <c r="Y279" s="28"/>
      <c r="Z279" s="28"/>
      <c r="AA279" s="28">
        <f>S279-Z279-Y279-X279</f>
        <v>1728</v>
      </c>
      <c r="AB279" s="28">
        <f>IF(H279-$AB$1&gt;365,AA279,0)</f>
        <v>0</v>
      </c>
      <c r="AC279" s="28">
        <f>IF(H279-$AB$1&lt;=365,AA279,0)</f>
        <v>1728</v>
      </c>
      <c r="AD279" s="28">
        <f>IF(H279="",AA279,0)</f>
        <v>0</v>
      </c>
      <c r="AE279" s="28">
        <f>IF(AND(H279-$AB$1&gt;365,H279-$AB$1&lt;=730),AB279,0)</f>
        <v>0</v>
      </c>
      <c r="AF279" s="28">
        <f>IF(AND(H279-$AB$1&gt;730,H279-$AB$1&lt;=1095),AB279,0)</f>
        <v>0</v>
      </c>
      <c r="AG279" s="28">
        <f>IF(AND(H279-$AB$1&gt;1095,H279-$AB$1&lt;=1825),AB279,0)</f>
        <v>0</v>
      </c>
      <c r="AH279" s="28">
        <f>IF(H279-$AB$1&gt;1825,AB279,0)</f>
        <v>0</v>
      </c>
      <c r="AJ279" s="12"/>
    </row>
    <row r="280" spans="1:36" ht="20.399999999999999" customHeight="1" x14ac:dyDescent="0.3">
      <c r="A280" s="6" t="s">
        <v>244</v>
      </c>
      <c r="B280" s="20">
        <v>1175061</v>
      </c>
      <c r="C280" s="83" t="s">
        <v>319</v>
      </c>
      <c r="D280" s="93" t="str">
        <f>IF(W280&gt;0,"zwrócone","")</f>
        <v/>
      </c>
      <c r="E280" s="22">
        <v>1776.94</v>
      </c>
      <c r="F280" s="22"/>
      <c r="G280" s="24">
        <v>45505</v>
      </c>
      <c r="H280" s="23">
        <v>46001</v>
      </c>
      <c r="I280" s="46">
        <v>0.3</v>
      </c>
      <c r="J280" s="46" t="s">
        <v>206</v>
      </c>
      <c r="K280" s="46" t="s">
        <v>203</v>
      </c>
      <c r="L280" s="25"/>
      <c r="M280" s="25"/>
      <c r="N280" s="25"/>
      <c r="O280" s="25"/>
      <c r="P280" s="25"/>
      <c r="Q280" s="25"/>
      <c r="R280" s="25"/>
      <c r="S280" s="27">
        <f t="shared" si="189"/>
        <v>1776.94</v>
      </c>
      <c r="T280" s="28"/>
      <c r="U280" s="28"/>
      <c r="V280" s="28"/>
      <c r="W280" s="8"/>
      <c r="X280" s="28"/>
      <c r="Y280" s="28"/>
      <c r="Z280" s="28"/>
      <c r="AA280" s="28">
        <f>S280-Z280-Y280-X280</f>
        <v>1776.94</v>
      </c>
      <c r="AB280" s="28">
        <f>IF(H280-$AB$1&gt;365,AA280,0)</f>
        <v>0</v>
      </c>
      <c r="AC280" s="28">
        <f>IF(H280-$AB$1&lt;=365,AA280,0)</f>
        <v>1776.94</v>
      </c>
      <c r="AD280" s="28">
        <f>IF(H280="",AA280,0)</f>
        <v>0</v>
      </c>
      <c r="AE280" s="28">
        <f>IF(AND(H280-$AB$1&gt;365,H280-$AB$1&lt;=730),AB280,0)</f>
        <v>0</v>
      </c>
      <c r="AF280" s="28">
        <f>IF(AND(H280-$AB$1&gt;730,H280-$AB$1&lt;=1095),AB280,0)</f>
        <v>0</v>
      </c>
      <c r="AG280" s="28">
        <f>IF(AND(H280-$AB$1&gt;1095,H280-$AB$1&lt;=1825),AB280,0)</f>
        <v>0</v>
      </c>
      <c r="AH280" s="28">
        <f>IF(H280-$AB$1&gt;1825,AB280,0)</f>
        <v>0</v>
      </c>
      <c r="AJ280" s="12"/>
    </row>
    <row r="281" spans="1:36" ht="20.399999999999999" customHeight="1" x14ac:dyDescent="0.3">
      <c r="A281" s="6" t="s">
        <v>244</v>
      </c>
      <c r="B281" s="20">
        <v>1175061</v>
      </c>
      <c r="C281" s="83" t="s">
        <v>419</v>
      </c>
      <c r="D281" s="93"/>
      <c r="E281" s="22">
        <v>6159.16</v>
      </c>
      <c r="F281" s="22"/>
      <c r="G281" s="24">
        <v>45922</v>
      </c>
      <c r="H281" s="23">
        <v>46102</v>
      </c>
      <c r="I281" s="46">
        <v>0.7</v>
      </c>
      <c r="J281" s="46" t="s">
        <v>206</v>
      </c>
      <c r="K281" s="46" t="s">
        <v>203</v>
      </c>
      <c r="L281" s="25"/>
      <c r="M281" s="25"/>
      <c r="N281" s="25"/>
      <c r="O281" s="25"/>
      <c r="P281" s="25"/>
      <c r="Q281" s="25"/>
      <c r="R281" s="25"/>
      <c r="S281" s="27">
        <f t="shared" si="189"/>
        <v>6159.16</v>
      </c>
      <c r="T281" s="28"/>
      <c r="U281" s="28"/>
      <c r="V281" s="28"/>
      <c r="W281" s="8"/>
      <c r="X281" s="28"/>
      <c r="Y281" s="28"/>
      <c r="Z281" s="28"/>
      <c r="AA281" s="28">
        <f t="shared" ref="AA281:AA282" si="230">S281-Z281-Y281-X281</f>
        <v>6159.16</v>
      </c>
      <c r="AB281" s="28">
        <f t="shared" ref="AB281:AB282" si="231">IF(H281-$AB$1&gt;365,AA281,0)</f>
        <v>0</v>
      </c>
      <c r="AC281" s="28">
        <f t="shared" ref="AC281:AC282" si="232">IF(H281-$AB$1&lt;=365,AA281,0)</f>
        <v>6159.16</v>
      </c>
      <c r="AD281" s="28">
        <f t="shared" ref="AD281:AD282" si="233">IF(H281="",AA281,0)</f>
        <v>0</v>
      </c>
      <c r="AE281" s="28">
        <f t="shared" ref="AE281:AE282" si="234">IF(AND(H281-$AB$1&gt;365,H281-$AB$1&lt;=730),AB281,0)</f>
        <v>0</v>
      </c>
      <c r="AF281" s="28">
        <f t="shared" ref="AF281:AF282" si="235">IF(AND(H281-$AB$1&gt;730,H281-$AB$1&lt;=1095),AB281,0)</f>
        <v>0</v>
      </c>
      <c r="AG281" s="28">
        <f t="shared" ref="AG281:AG282" si="236">IF(AND(H281-$AB$1&gt;1095,H281-$AB$1&lt;=1825),AB281,0)</f>
        <v>0</v>
      </c>
      <c r="AH281" s="28">
        <f t="shared" ref="AH281:AH282" si="237">IF(H281-$AB$1&gt;1825,AB281,0)</f>
        <v>0</v>
      </c>
      <c r="AJ281" s="12"/>
    </row>
    <row r="282" spans="1:36" ht="20.399999999999999" customHeight="1" x14ac:dyDescent="0.3">
      <c r="A282" s="6" t="s">
        <v>244</v>
      </c>
      <c r="B282" s="20">
        <v>1175061</v>
      </c>
      <c r="C282" s="83" t="s">
        <v>419</v>
      </c>
      <c r="D282" s="93"/>
      <c r="E282" s="22">
        <v>2639.64</v>
      </c>
      <c r="F282" s="22"/>
      <c r="G282" s="24">
        <v>45922</v>
      </c>
      <c r="H282" s="23">
        <v>47183</v>
      </c>
      <c r="I282" s="46">
        <v>0.3</v>
      </c>
      <c r="J282" s="46" t="s">
        <v>206</v>
      </c>
      <c r="K282" s="46" t="s">
        <v>203</v>
      </c>
      <c r="L282" s="25"/>
      <c r="M282" s="25"/>
      <c r="N282" s="25"/>
      <c r="O282" s="25"/>
      <c r="P282" s="25"/>
      <c r="Q282" s="25"/>
      <c r="R282" s="25"/>
      <c r="S282" s="27">
        <f t="shared" si="189"/>
        <v>2639.64</v>
      </c>
      <c r="T282" s="28"/>
      <c r="U282" s="28"/>
      <c r="V282" s="28"/>
      <c r="W282" s="8"/>
      <c r="X282" s="28"/>
      <c r="Y282" s="28"/>
      <c r="Z282" s="28"/>
      <c r="AA282" s="28">
        <f t="shared" si="230"/>
        <v>2639.64</v>
      </c>
      <c r="AB282" s="28">
        <f t="shared" si="231"/>
        <v>2639.64</v>
      </c>
      <c r="AC282" s="28">
        <f t="shared" si="232"/>
        <v>0</v>
      </c>
      <c r="AD282" s="28">
        <f t="shared" si="233"/>
        <v>0</v>
      </c>
      <c r="AE282" s="28">
        <f t="shared" si="234"/>
        <v>0</v>
      </c>
      <c r="AF282" s="28">
        <f t="shared" si="235"/>
        <v>0</v>
      </c>
      <c r="AG282" s="28">
        <f t="shared" si="236"/>
        <v>2639.64</v>
      </c>
      <c r="AH282" s="28">
        <f t="shared" si="237"/>
        <v>0</v>
      </c>
      <c r="AJ282" s="12"/>
    </row>
    <row r="283" spans="1:36" ht="18.600000000000001" customHeight="1" x14ac:dyDescent="0.3">
      <c r="A283" s="115"/>
      <c r="B283" s="116"/>
      <c r="C283" s="117"/>
      <c r="D283" s="118" t="str">
        <f t="shared" si="223"/>
        <v/>
      </c>
      <c r="E283" s="31">
        <f>SUBTOTAL(9,E279:E282)</f>
        <v>12303.74</v>
      </c>
      <c r="F283" s="31"/>
      <c r="G283" s="119"/>
      <c r="H283" s="120"/>
      <c r="I283" s="115"/>
      <c r="J283" s="115"/>
      <c r="K283" s="115"/>
      <c r="L283" s="31">
        <f>SUBTOTAL(9,L279:L282)</f>
        <v>0</v>
      </c>
      <c r="M283" s="31">
        <f t="shared" ref="M283:AH283" si="238">SUBTOTAL(9,M279:M282)</f>
        <v>0</v>
      </c>
      <c r="N283" s="31">
        <f t="shared" si="238"/>
        <v>0</v>
      </c>
      <c r="O283" s="31">
        <f t="shared" si="238"/>
        <v>0</v>
      </c>
      <c r="P283" s="31">
        <f t="shared" si="238"/>
        <v>0</v>
      </c>
      <c r="Q283" s="31">
        <f t="shared" si="238"/>
        <v>0</v>
      </c>
      <c r="R283" s="31">
        <f t="shared" si="238"/>
        <v>0</v>
      </c>
      <c r="S283" s="31">
        <f t="shared" si="238"/>
        <v>12303.74</v>
      </c>
      <c r="T283" s="31">
        <f t="shared" si="238"/>
        <v>0</v>
      </c>
      <c r="U283" s="31">
        <f t="shared" si="238"/>
        <v>1728</v>
      </c>
      <c r="V283" s="31">
        <f t="shared" si="238"/>
        <v>0</v>
      </c>
      <c r="W283" s="31"/>
      <c r="X283" s="31">
        <f t="shared" si="238"/>
        <v>0</v>
      </c>
      <c r="Y283" s="31">
        <f t="shared" si="238"/>
        <v>0</v>
      </c>
      <c r="Z283" s="31">
        <f t="shared" si="238"/>
        <v>0</v>
      </c>
      <c r="AA283" s="31">
        <f t="shared" si="238"/>
        <v>12303.74</v>
      </c>
      <c r="AB283" s="31">
        <f t="shared" si="238"/>
        <v>2639.64</v>
      </c>
      <c r="AC283" s="31">
        <f t="shared" si="238"/>
        <v>9664.1</v>
      </c>
      <c r="AD283" s="31">
        <f t="shared" si="238"/>
        <v>0</v>
      </c>
      <c r="AE283" s="31">
        <f t="shared" si="238"/>
        <v>0</v>
      </c>
      <c r="AF283" s="31">
        <f t="shared" si="238"/>
        <v>0</v>
      </c>
      <c r="AG283" s="31">
        <f t="shared" si="238"/>
        <v>2639.64</v>
      </c>
      <c r="AH283" s="31">
        <f t="shared" si="238"/>
        <v>0</v>
      </c>
      <c r="AJ283" s="12"/>
    </row>
    <row r="284" spans="1:36" ht="18.600000000000001" customHeight="1" x14ac:dyDescent="0.3">
      <c r="A284" s="85" t="s">
        <v>222</v>
      </c>
      <c r="B284" s="183">
        <v>1181039</v>
      </c>
      <c r="C284" s="157" t="s">
        <v>223</v>
      </c>
      <c r="D284" s="158" t="str">
        <f t="shared" si="223"/>
        <v>zwrócone</v>
      </c>
      <c r="E284" s="159">
        <v>1197</v>
      </c>
      <c r="F284" s="159" t="s">
        <v>158</v>
      </c>
      <c r="G284" s="160">
        <v>45120</v>
      </c>
      <c r="H284" s="84">
        <v>45854</v>
      </c>
      <c r="I284" s="46">
        <v>0.3</v>
      </c>
      <c r="J284" s="46" t="s">
        <v>206</v>
      </c>
      <c r="K284" s="46" t="s">
        <v>203</v>
      </c>
      <c r="L284" s="25"/>
      <c r="M284" s="25"/>
      <c r="N284" s="25"/>
      <c r="O284" s="25"/>
      <c r="P284" s="25"/>
      <c r="Q284" s="25"/>
      <c r="R284" s="25"/>
      <c r="S284" s="27">
        <f t="shared" si="189"/>
        <v>1197</v>
      </c>
      <c r="T284" s="28">
        <f>IF(H284-$T$1&gt;365,S284,0)</f>
        <v>0</v>
      </c>
      <c r="U284" s="28">
        <f>IF(H284-$T$1&lt;365,S284,0)</f>
        <v>1197</v>
      </c>
      <c r="V284" s="28">
        <f>IF(H284="",S284,0)</f>
        <v>0</v>
      </c>
      <c r="W284" s="37">
        <v>45866</v>
      </c>
      <c r="X284" s="28"/>
      <c r="Y284" s="28"/>
      <c r="Z284" s="28">
        <v>1197</v>
      </c>
      <c r="AA284" s="28">
        <f>S284-Z284-Y284-X284</f>
        <v>0</v>
      </c>
      <c r="AB284" s="28">
        <f>IF(H284-$AB$1&gt;365,AA284,0)</f>
        <v>0</v>
      </c>
      <c r="AC284" s="28">
        <f>IF(H284-$AB$1&lt;=365,AA284,0)</f>
        <v>0</v>
      </c>
      <c r="AD284" s="28">
        <f>IF(H284="",AA284,0)</f>
        <v>0</v>
      </c>
      <c r="AE284" s="28">
        <f>IF(AND(H284-$AB$1&gt;365,H284-$AB$1&lt;=730),AB284,0)</f>
        <v>0</v>
      </c>
      <c r="AF284" s="28">
        <f>IF(AND(H284-$AB$1&gt;730,H284-$AB$1&lt;=1095),AB284,0)</f>
        <v>0</v>
      </c>
      <c r="AG284" s="28">
        <f>IF(AND(H284-$AB$1&gt;1095,H284-$AB$1&lt;=1825),AB284,0)</f>
        <v>0</v>
      </c>
      <c r="AH284" s="28">
        <f>IF(H284-$AB$1&gt;1825,AB284,0)</f>
        <v>0</v>
      </c>
      <c r="AJ284" s="12"/>
    </row>
    <row r="285" spans="1:36" ht="18.600000000000001" customHeight="1" x14ac:dyDescent="0.3">
      <c r="A285" s="115"/>
      <c r="B285" s="116"/>
      <c r="C285" s="117"/>
      <c r="D285" s="118" t="str">
        <f t="shared" si="223"/>
        <v/>
      </c>
      <c r="E285" s="31">
        <f>SUBTOTAL(9,E284:E284)</f>
        <v>1197</v>
      </c>
      <c r="F285" s="31"/>
      <c r="G285" s="31"/>
      <c r="H285" s="31"/>
      <c r="I285" s="31"/>
      <c r="J285" s="31"/>
      <c r="K285" s="31"/>
      <c r="L285" s="31">
        <f t="shared" ref="L285:V285" si="239">SUBTOTAL(9,L284:L284)</f>
        <v>0</v>
      </c>
      <c r="M285" s="31">
        <f t="shared" si="239"/>
        <v>0</v>
      </c>
      <c r="N285" s="31">
        <f t="shared" si="239"/>
        <v>0</v>
      </c>
      <c r="O285" s="31">
        <f t="shared" si="239"/>
        <v>0</v>
      </c>
      <c r="P285" s="31">
        <f t="shared" si="239"/>
        <v>0</v>
      </c>
      <c r="Q285" s="31">
        <f t="shared" si="239"/>
        <v>0</v>
      </c>
      <c r="R285" s="31"/>
      <c r="S285" s="31">
        <f t="shared" si="189"/>
        <v>1197</v>
      </c>
      <c r="T285" s="31">
        <f t="shared" si="239"/>
        <v>0</v>
      </c>
      <c r="U285" s="31">
        <f t="shared" si="239"/>
        <v>1197</v>
      </c>
      <c r="V285" s="31">
        <f t="shared" si="239"/>
        <v>0</v>
      </c>
      <c r="W285" s="31"/>
      <c r="X285" s="31">
        <f t="shared" ref="X285:AH285" si="240">SUBTOTAL(9,X284:X284)</f>
        <v>0</v>
      </c>
      <c r="Y285" s="31">
        <f t="shared" si="240"/>
        <v>0</v>
      </c>
      <c r="Z285" s="31">
        <f t="shared" si="240"/>
        <v>1197</v>
      </c>
      <c r="AA285" s="31">
        <f t="shared" si="240"/>
        <v>0</v>
      </c>
      <c r="AB285" s="31">
        <f t="shared" si="240"/>
        <v>0</v>
      </c>
      <c r="AC285" s="31">
        <f t="shared" si="240"/>
        <v>0</v>
      </c>
      <c r="AD285" s="31">
        <f t="shared" si="240"/>
        <v>0</v>
      </c>
      <c r="AE285" s="31">
        <f t="shared" si="240"/>
        <v>0</v>
      </c>
      <c r="AF285" s="31">
        <f t="shared" si="240"/>
        <v>0</v>
      </c>
      <c r="AG285" s="31">
        <f t="shared" si="240"/>
        <v>0</v>
      </c>
      <c r="AH285" s="31">
        <f t="shared" si="240"/>
        <v>0</v>
      </c>
      <c r="AJ285" s="12"/>
    </row>
    <row r="286" spans="1:36" ht="18.600000000000001" customHeight="1" x14ac:dyDescent="0.3">
      <c r="A286" s="6" t="s">
        <v>173</v>
      </c>
      <c r="B286" s="20">
        <v>1181071</v>
      </c>
      <c r="C286" s="83" t="s">
        <v>174</v>
      </c>
      <c r="D286" s="93" t="str">
        <f t="shared" si="223"/>
        <v/>
      </c>
      <c r="E286" s="22">
        <v>1272</v>
      </c>
      <c r="F286" s="22"/>
      <c r="G286" s="24">
        <v>44981</v>
      </c>
      <c r="H286" s="23">
        <v>46083</v>
      </c>
      <c r="I286" s="46">
        <v>0.3</v>
      </c>
      <c r="J286" s="46" t="s">
        <v>206</v>
      </c>
      <c r="K286" s="46" t="s">
        <v>195</v>
      </c>
      <c r="L286" s="25"/>
      <c r="M286" s="25"/>
      <c r="N286" s="25"/>
      <c r="O286" s="25"/>
      <c r="P286" s="25"/>
      <c r="Q286" s="25"/>
      <c r="R286" s="25"/>
      <c r="S286" s="27">
        <f t="shared" si="189"/>
        <v>1272</v>
      </c>
      <c r="T286" s="28">
        <f>IF(H286-$T$1&gt;365,S286,0)</f>
        <v>0</v>
      </c>
      <c r="U286" s="28">
        <f>IF(H286-$T$1&lt;365,S286,0)</f>
        <v>1272</v>
      </c>
      <c r="V286" s="28">
        <f>IF(H286="",S286,0)</f>
        <v>0</v>
      </c>
      <c r="W286" s="37"/>
      <c r="X286" s="28"/>
      <c r="Y286" s="28"/>
      <c r="Z286" s="28"/>
      <c r="AA286" s="28">
        <f>S286-Z286-Y286-X286</f>
        <v>1272</v>
      </c>
      <c r="AB286" s="28">
        <f>IF(H286-$AB$1&gt;365,AA286,0)</f>
        <v>0</v>
      </c>
      <c r="AC286" s="28">
        <f>IF(H286-$AB$1&lt;=365,AA286,0)</f>
        <v>1272</v>
      </c>
      <c r="AD286" s="28">
        <f>IF(H286="",AA286,0)</f>
        <v>0</v>
      </c>
      <c r="AE286" s="28">
        <f>IF(AND(H286-$AB$1&gt;365,H286-$AB$1&lt;=730),AB286,0)</f>
        <v>0</v>
      </c>
      <c r="AF286" s="28">
        <f>IF(AND(H286-$AB$1&gt;730,H286-$AB$1&lt;=1095),AB286,0)</f>
        <v>0</v>
      </c>
      <c r="AG286" s="28">
        <f>IF(AND(H286-$AB$1&gt;1095,H286-$AB$1&lt;=1825),AB286,0)</f>
        <v>0</v>
      </c>
      <c r="AH286" s="28">
        <f>IF(H286-$AB$1&gt;1825,AB286,0)</f>
        <v>0</v>
      </c>
      <c r="AJ286" s="12"/>
    </row>
    <row r="287" spans="1:36" ht="18.600000000000001" customHeight="1" x14ac:dyDescent="0.3">
      <c r="A287" s="115"/>
      <c r="B287" s="116"/>
      <c r="C287" s="117"/>
      <c r="D287" s="118" t="str">
        <f>IF(W287&gt;0,"zwrócone","")</f>
        <v/>
      </c>
      <c r="E287" s="31">
        <f>SUBTOTAL(9,E286:E286)</f>
        <v>1272</v>
      </c>
      <c r="F287" s="31"/>
      <c r="G287" s="119"/>
      <c r="H287" s="120"/>
      <c r="I287" s="115"/>
      <c r="J287" s="115"/>
      <c r="K287" s="115"/>
      <c r="L287" s="31">
        <f t="shared" ref="L287:Q287" si="241">SUBTOTAL(9,L286:L286)</f>
        <v>0</v>
      </c>
      <c r="M287" s="31">
        <f t="shared" si="241"/>
        <v>0</v>
      </c>
      <c r="N287" s="31">
        <f t="shared" si="241"/>
        <v>0</v>
      </c>
      <c r="O287" s="31">
        <f t="shared" si="241"/>
        <v>0</v>
      </c>
      <c r="P287" s="31">
        <f t="shared" si="241"/>
        <v>0</v>
      </c>
      <c r="Q287" s="31">
        <f t="shared" si="241"/>
        <v>0</v>
      </c>
      <c r="R287" s="31"/>
      <c r="S287" s="31">
        <f t="shared" si="189"/>
        <v>1272</v>
      </c>
      <c r="T287" s="31">
        <f>SUBTOTAL(9,T286:T286)</f>
        <v>0</v>
      </c>
      <c r="U287" s="31">
        <f>SUBTOTAL(9,U286:U286)</f>
        <v>1272</v>
      </c>
      <c r="V287" s="31">
        <f>SUBTOTAL(9,V286:V286)</f>
        <v>0</v>
      </c>
      <c r="W287" s="31"/>
      <c r="X287" s="31">
        <f t="shared" ref="X287:AH287" si="242">SUBTOTAL(9,X286:X286)</f>
        <v>0</v>
      </c>
      <c r="Y287" s="31">
        <f t="shared" si="242"/>
        <v>0</v>
      </c>
      <c r="Z287" s="31">
        <f t="shared" si="242"/>
        <v>0</v>
      </c>
      <c r="AA287" s="31">
        <f t="shared" si="242"/>
        <v>1272</v>
      </c>
      <c r="AB287" s="31">
        <f t="shared" si="242"/>
        <v>0</v>
      </c>
      <c r="AC287" s="31">
        <f t="shared" si="242"/>
        <v>1272</v>
      </c>
      <c r="AD287" s="31">
        <f t="shared" si="242"/>
        <v>0</v>
      </c>
      <c r="AE287" s="31">
        <f t="shared" si="242"/>
        <v>0</v>
      </c>
      <c r="AF287" s="31">
        <f t="shared" si="242"/>
        <v>0</v>
      </c>
      <c r="AG287" s="31">
        <f t="shared" si="242"/>
        <v>0</v>
      </c>
      <c r="AH287" s="31">
        <f t="shared" si="242"/>
        <v>0</v>
      </c>
      <c r="AJ287" s="12"/>
    </row>
    <row r="288" spans="1:36" ht="18.600000000000001" customHeight="1" x14ac:dyDescent="0.3">
      <c r="A288" s="85" t="s">
        <v>168</v>
      </c>
      <c r="B288" s="183">
        <v>1182162</v>
      </c>
      <c r="C288" s="157" t="s">
        <v>169</v>
      </c>
      <c r="D288" s="158" t="str">
        <f>IF(W288&gt;0,"zwrócone","")</f>
        <v>zwrócone</v>
      </c>
      <c r="E288" s="159">
        <v>1884</v>
      </c>
      <c r="F288" s="159" t="s">
        <v>158</v>
      </c>
      <c r="G288" s="160">
        <v>44938</v>
      </c>
      <c r="H288" s="84">
        <v>45687</v>
      </c>
      <c r="I288" s="46">
        <v>0.3</v>
      </c>
      <c r="J288" s="46" t="s">
        <v>206</v>
      </c>
      <c r="K288" s="46" t="s">
        <v>203</v>
      </c>
      <c r="L288" s="25"/>
      <c r="M288" s="25"/>
      <c r="N288" s="25"/>
      <c r="O288" s="25"/>
      <c r="P288" s="25"/>
      <c r="Q288" s="25"/>
      <c r="R288" s="25"/>
      <c r="S288" s="27">
        <f t="shared" si="189"/>
        <v>1884</v>
      </c>
      <c r="T288" s="28">
        <f>IF(H288-$T$1&gt;365,S288,0)</f>
        <v>0</v>
      </c>
      <c r="U288" s="28">
        <f>IF(H288-$T$1&lt;365,S288,0)</f>
        <v>1884</v>
      </c>
      <c r="V288" s="28">
        <f>IF(H288="",S288,0)</f>
        <v>0</v>
      </c>
      <c r="W288" s="37">
        <v>45730</v>
      </c>
      <c r="X288" s="28"/>
      <c r="Y288" s="28"/>
      <c r="Z288" s="28">
        <v>1884</v>
      </c>
      <c r="AA288" s="28">
        <f>S288-Z288-Y288-X288</f>
        <v>0</v>
      </c>
      <c r="AB288" s="28">
        <f>IF(H288-$AB$1&gt;365,AA288,0)</f>
        <v>0</v>
      </c>
      <c r="AC288" s="28">
        <f>IF(H288-$AB$1&lt;=365,AA288,0)</f>
        <v>0</v>
      </c>
      <c r="AD288" s="28">
        <f>IF(H288="",AA288,0)</f>
        <v>0</v>
      </c>
      <c r="AE288" s="28">
        <f>IF(AND(H288-$AB$1&gt;365,H288-$AB$1&lt;=730),AB288,0)</f>
        <v>0</v>
      </c>
      <c r="AF288" s="28">
        <f>IF(AND(H288-$AB$1&gt;730,H288-$AB$1&lt;=1095),AB288,0)</f>
        <v>0</v>
      </c>
      <c r="AG288" s="28">
        <f>IF(AND(H288-$AB$1&gt;1095,H288-$AB$1&lt;=1825),AB288,0)</f>
        <v>0</v>
      </c>
      <c r="AH288" s="28">
        <f>IF(H288-$AB$1&gt;1825,AB288,0)</f>
        <v>0</v>
      </c>
      <c r="AJ288" s="12"/>
    </row>
    <row r="289" spans="1:36" ht="18.600000000000001" customHeight="1" x14ac:dyDescent="0.3">
      <c r="A289" s="115"/>
      <c r="B289" s="116"/>
      <c r="C289" s="117"/>
      <c r="D289" s="118" t="str">
        <f>IF(W289&gt;0,"zwrócone","")</f>
        <v/>
      </c>
      <c r="E289" s="31">
        <f>SUBTOTAL(9,E288:E288)</f>
        <v>1884</v>
      </c>
      <c r="F289" s="31"/>
      <c r="G289" s="119"/>
      <c r="H289" s="120"/>
      <c r="I289" s="115"/>
      <c r="J289" s="115"/>
      <c r="K289" s="115"/>
      <c r="L289" s="31">
        <f t="shared" ref="L289:Q289" si="243">SUBTOTAL(9,L288:L288)</f>
        <v>0</v>
      </c>
      <c r="M289" s="31">
        <f t="shared" si="243"/>
        <v>0</v>
      </c>
      <c r="N289" s="31">
        <f t="shared" si="243"/>
        <v>0</v>
      </c>
      <c r="O289" s="31">
        <f t="shared" si="243"/>
        <v>0</v>
      </c>
      <c r="P289" s="31">
        <f t="shared" si="243"/>
        <v>0</v>
      </c>
      <c r="Q289" s="31">
        <f t="shared" si="243"/>
        <v>0</v>
      </c>
      <c r="R289" s="31"/>
      <c r="S289" s="31">
        <f t="shared" si="189"/>
        <v>1884</v>
      </c>
      <c r="T289" s="31">
        <f>SUBTOTAL(9,T288:T288)</f>
        <v>0</v>
      </c>
      <c r="U289" s="31">
        <f>SUBTOTAL(9,U288:U288)</f>
        <v>1884</v>
      </c>
      <c r="V289" s="31">
        <f>SUBTOTAL(9,V288:V288)</f>
        <v>0</v>
      </c>
      <c r="W289" s="31"/>
      <c r="X289" s="31">
        <f t="shared" ref="X289:AH289" si="244">SUBTOTAL(9,X288:X288)</f>
        <v>0</v>
      </c>
      <c r="Y289" s="31">
        <f t="shared" si="244"/>
        <v>0</v>
      </c>
      <c r="Z289" s="31">
        <f t="shared" si="244"/>
        <v>1884</v>
      </c>
      <c r="AA289" s="31">
        <f t="shared" si="244"/>
        <v>0</v>
      </c>
      <c r="AB289" s="31">
        <f t="shared" si="244"/>
        <v>0</v>
      </c>
      <c r="AC289" s="31">
        <f t="shared" si="244"/>
        <v>0</v>
      </c>
      <c r="AD289" s="31">
        <f t="shared" si="244"/>
        <v>0</v>
      </c>
      <c r="AE289" s="31">
        <f t="shared" si="244"/>
        <v>0</v>
      </c>
      <c r="AF289" s="31">
        <f t="shared" si="244"/>
        <v>0</v>
      </c>
      <c r="AG289" s="31">
        <f t="shared" si="244"/>
        <v>0</v>
      </c>
      <c r="AH289" s="31">
        <f t="shared" si="244"/>
        <v>0</v>
      </c>
      <c r="AJ289" s="12"/>
    </row>
    <row r="290" spans="1:36" ht="18.600000000000001" customHeight="1" x14ac:dyDescent="0.3">
      <c r="A290" s="6" t="s">
        <v>279</v>
      </c>
      <c r="B290" s="20">
        <v>1186035</v>
      </c>
      <c r="C290" s="83" t="s">
        <v>280</v>
      </c>
      <c r="D290" s="93" t="str">
        <f t="shared" ref="D290:D302" si="245">IF(W290&gt;0,"zwrócone","")</f>
        <v/>
      </c>
      <c r="E290" s="22">
        <v>4260</v>
      </c>
      <c r="F290" s="22" t="s">
        <v>158</v>
      </c>
      <c r="G290" s="24">
        <v>45299</v>
      </c>
      <c r="H290" s="23">
        <v>46490</v>
      </c>
      <c r="I290" s="46">
        <v>0.3</v>
      </c>
      <c r="J290" s="46" t="s">
        <v>206</v>
      </c>
      <c r="K290" s="46" t="s">
        <v>203</v>
      </c>
      <c r="L290" s="25"/>
      <c r="M290" s="25"/>
      <c r="N290" s="25"/>
      <c r="O290" s="25"/>
      <c r="P290" s="25"/>
      <c r="Q290" s="25"/>
      <c r="R290" s="25"/>
      <c r="S290" s="27">
        <f t="shared" si="189"/>
        <v>4260</v>
      </c>
      <c r="T290" s="28">
        <f>IF(H290-$T$1&gt;365,S290,0)</f>
        <v>4260</v>
      </c>
      <c r="U290" s="28">
        <f>IF(H290-$T$1&lt;365,S290,0)</f>
        <v>0</v>
      </c>
      <c r="V290" s="28">
        <f>IF(H290="",S290,0)</f>
        <v>0</v>
      </c>
      <c r="W290" s="8"/>
      <c r="X290" s="28"/>
      <c r="Y290" s="28"/>
      <c r="Z290" s="28"/>
      <c r="AA290" s="28">
        <f>S290-Z290-Y290-X290</f>
        <v>4260</v>
      </c>
      <c r="AB290" s="28">
        <f>IF(H290-$AB$1&gt;365,AA290,0)</f>
        <v>4260</v>
      </c>
      <c r="AC290" s="28">
        <f>IF(H290-$AB$1&lt;=365,AA290,0)</f>
        <v>0</v>
      </c>
      <c r="AD290" s="28">
        <f>IF(H290="",AA290,0)</f>
        <v>0</v>
      </c>
      <c r="AE290" s="28">
        <f>IF(AND(H290-$AB$1&gt;365,H290-$AB$1&lt;=730),AB290,0)</f>
        <v>4260</v>
      </c>
      <c r="AF290" s="28">
        <f>IF(AND(H290-$AB$1&gt;730,H290-$AB$1&lt;=1095),AB290,0)</f>
        <v>0</v>
      </c>
      <c r="AG290" s="28">
        <f>IF(AND(H290-$AB$1&gt;1095,H290-$AB$1&lt;=1825),AB290,0)</f>
        <v>0</v>
      </c>
      <c r="AH290" s="28">
        <f>IF(H290-$AB$1&gt;1825,AB290,0)</f>
        <v>0</v>
      </c>
      <c r="AJ290" s="12"/>
    </row>
    <row r="291" spans="1:36" ht="18.600000000000001" customHeight="1" x14ac:dyDescent="0.3">
      <c r="A291" s="115"/>
      <c r="B291" s="116"/>
      <c r="C291" s="117"/>
      <c r="D291" s="118" t="str">
        <f t="shared" si="245"/>
        <v/>
      </c>
      <c r="E291" s="31">
        <f>SUBTOTAL(9,E290:E290)</f>
        <v>4260</v>
      </c>
      <c r="F291" s="31"/>
      <c r="G291" s="119"/>
      <c r="H291" s="120"/>
      <c r="I291" s="115"/>
      <c r="J291" s="115"/>
      <c r="K291" s="115"/>
      <c r="L291" s="31">
        <f t="shared" ref="L291:V291" si="246">SUBTOTAL(9,L290:L290)</f>
        <v>0</v>
      </c>
      <c r="M291" s="31">
        <f t="shared" si="246"/>
        <v>0</v>
      </c>
      <c r="N291" s="31">
        <f t="shared" si="246"/>
        <v>0</v>
      </c>
      <c r="O291" s="31">
        <f t="shared" si="246"/>
        <v>0</v>
      </c>
      <c r="P291" s="31">
        <f t="shared" si="246"/>
        <v>0</v>
      </c>
      <c r="Q291" s="31">
        <f t="shared" si="246"/>
        <v>0</v>
      </c>
      <c r="R291" s="31"/>
      <c r="S291" s="31">
        <f t="shared" si="189"/>
        <v>4260</v>
      </c>
      <c r="T291" s="31">
        <f t="shared" si="246"/>
        <v>4260</v>
      </c>
      <c r="U291" s="31">
        <f t="shared" si="246"/>
        <v>0</v>
      </c>
      <c r="V291" s="31">
        <f t="shared" si="246"/>
        <v>0</v>
      </c>
      <c r="W291" s="31"/>
      <c r="X291" s="31">
        <f t="shared" ref="X291:AH291" si="247">SUBTOTAL(9,X290:X290)</f>
        <v>0</v>
      </c>
      <c r="Y291" s="31">
        <f t="shared" si="247"/>
        <v>0</v>
      </c>
      <c r="Z291" s="31">
        <f t="shared" si="247"/>
        <v>0</v>
      </c>
      <c r="AA291" s="31">
        <f t="shared" si="247"/>
        <v>4260</v>
      </c>
      <c r="AB291" s="31">
        <f t="shared" si="247"/>
        <v>4260</v>
      </c>
      <c r="AC291" s="31">
        <f t="shared" si="247"/>
        <v>0</v>
      </c>
      <c r="AD291" s="31">
        <f t="shared" si="247"/>
        <v>0</v>
      </c>
      <c r="AE291" s="31">
        <f t="shared" si="247"/>
        <v>4260</v>
      </c>
      <c r="AF291" s="31">
        <f t="shared" si="247"/>
        <v>0</v>
      </c>
      <c r="AG291" s="31">
        <f t="shared" si="247"/>
        <v>0</v>
      </c>
      <c r="AH291" s="31">
        <f t="shared" si="247"/>
        <v>0</v>
      </c>
      <c r="AJ291" s="12"/>
    </row>
    <row r="292" spans="1:36" ht="18.600000000000001" customHeight="1" x14ac:dyDescent="0.3">
      <c r="A292" s="161" t="s">
        <v>338</v>
      </c>
      <c r="B292" s="162">
        <v>1186841</v>
      </c>
      <c r="C292" s="157" t="s">
        <v>337</v>
      </c>
      <c r="D292" s="158" t="str">
        <f t="shared" si="245"/>
        <v>zwrócone</v>
      </c>
      <c r="E292" s="159">
        <v>2585.86</v>
      </c>
      <c r="F292" s="159"/>
      <c r="G292" s="160">
        <v>45583</v>
      </c>
      <c r="H292" s="84">
        <v>45777</v>
      </c>
      <c r="I292" s="46">
        <v>0.7</v>
      </c>
      <c r="J292" s="46" t="s">
        <v>206</v>
      </c>
      <c r="K292" s="46" t="s">
        <v>192</v>
      </c>
      <c r="L292" s="25"/>
      <c r="M292" s="25"/>
      <c r="N292" s="25"/>
      <c r="O292" s="25"/>
      <c r="P292" s="25"/>
      <c r="Q292" s="25"/>
      <c r="R292" s="25"/>
      <c r="S292" s="27">
        <f t="shared" si="189"/>
        <v>2585.86</v>
      </c>
      <c r="T292" s="28"/>
      <c r="U292" s="28"/>
      <c r="V292" s="28"/>
      <c r="W292" s="37">
        <v>45782</v>
      </c>
      <c r="X292" s="28"/>
      <c r="Y292" s="28"/>
      <c r="Z292" s="28">
        <v>2585.86</v>
      </c>
      <c r="AA292" s="28">
        <f>S292-Z292-Y292-X292</f>
        <v>0</v>
      </c>
      <c r="AB292" s="28">
        <f>IF(H292-$AB$1&gt;365,AA292,0)</f>
        <v>0</v>
      </c>
      <c r="AC292" s="28">
        <f>IF(H292-$AB$1&lt;=365,AA292,0)</f>
        <v>0</v>
      </c>
      <c r="AD292" s="28">
        <f>IF(H292="",AA292,0)</f>
        <v>0</v>
      </c>
      <c r="AE292" s="28">
        <f>IF(AND(H292-$AB$1&gt;365,H292-$AB$1&lt;=730),AB292,0)</f>
        <v>0</v>
      </c>
      <c r="AF292" s="28">
        <f>IF(AND(H292-$AB$1&gt;730,H292-$AB$1&lt;=1095),AB292,0)</f>
        <v>0</v>
      </c>
      <c r="AG292" s="28">
        <f>IF(AND(H292-$AB$1&gt;1095,H292-$AB$1&lt;=1825),AB292,0)</f>
        <v>0</v>
      </c>
      <c r="AH292" s="28">
        <f>IF(H292-$AB$1&gt;1825,AB292,0)</f>
        <v>0</v>
      </c>
      <c r="AJ292" s="12"/>
    </row>
    <row r="293" spans="1:36" ht="18.600000000000001" customHeight="1" x14ac:dyDescent="0.3">
      <c r="A293" s="90" t="s">
        <v>338</v>
      </c>
      <c r="B293" s="32">
        <v>1186841</v>
      </c>
      <c r="C293" s="83" t="s">
        <v>366</v>
      </c>
      <c r="D293" s="93" t="str">
        <f t="shared" si="245"/>
        <v/>
      </c>
      <c r="E293" s="22">
        <v>4566.24</v>
      </c>
      <c r="F293" s="22"/>
      <c r="G293" s="24">
        <v>45747</v>
      </c>
      <c r="H293" s="23">
        <v>45928</v>
      </c>
      <c r="I293" s="46">
        <v>0.7</v>
      </c>
      <c r="J293" s="46" t="s">
        <v>206</v>
      </c>
      <c r="K293" s="46" t="s">
        <v>192</v>
      </c>
      <c r="L293" s="25"/>
      <c r="M293" s="25"/>
      <c r="N293" s="25"/>
      <c r="O293" s="25"/>
      <c r="P293" s="25"/>
      <c r="Q293" s="25"/>
      <c r="R293" s="25"/>
      <c r="S293" s="27">
        <f t="shared" si="189"/>
        <v>4566.24</v>
      </c>
      <c r="T293" s="28"/>
      <c r="U293" s="28"/>
      <c r="V293" s="28"/>
      <c r="W293" s="8"/>
      <c r="X293" s="28"/>
      <c r="Y293" s="28"/>
      <c r="Z293" s="28"/>
      <c r="AA293" s="28">
        <f>S293-Z293-Y293-X293</f>
        <v>4566.24</v>
      </c>
      <c r="AB293" s="28">
        <f>IF(H293-$AB$1&gt;365,AA293,0)</f>
        <v>0</v>
      </c>
      <c r="AC293" s="28">
        <f>IF(H293-$AB$1&lt;=365,AA293,0)</f>
        <v>4566.24</v>
      </c>
      <c r="AD293" s="28">
        <f>IF(H293="",AA293,0)</f>
        <v>0</v>
      </c>
      <c r="AE293" s="28">
        <f>IF(AND(H293-$AB$1&gt;365,H293-$AB$1&lt;=730),AB293,0)</f>
        <v>0</v>
      </c>
      <c r="AF293" s="28">
        <f>IF(AND(H293-$AB$1&gt;730,H293-$AB$1&lt;=1095),AB293,0)</f>
        <v>0</v>
      </c>
      <c r="AG293" s="28">
        <f>IF(AND(H293-$AB$1&gt;1095,H293-$AB$1&lt;=1825),AB293,0)</f>
        <v>0</v>
      </c>
      <c r="AH293" s="28">
        <f>IF(H293-$AB$1&gt;1825,AB293,0)</f>
        <v>0</v>
      </c>
      <c r="AJ293" s="12"/>
    </row>
    <row r="294" spans="1:36" ht="18.600000000000001" customHeight="1" x14ac:dyDescent="0.3">
      <c r="A294" s="90" t="s">
        <v>338</v>
      </c>
      <c r="B294" s="32">
        <v>1186841</v>
      </c>
      <c r="C294" s="83" t="s">
        <v>366</v>
      </c>
      <c r="D294" s="93" t="str">
        <f t="shared" si="245"/>
        <v/>
      </c>
      <c r="E294" s="22">
        <v>1956.96</v>
      </c>
      <c r="F294" s="22"/>
      <c r="G294" s="24">
        <v>45747</v>
      </c>
      <c r="H294" s="23">
        <v>46170</v>
      </c>
      <c r="I294" s="46">
        <v>0.3</v>
      </c>
      <c r="J294" s="46" t="s">
        <v>206</v>
      </c>
      <c r="K294" s="46" t="s">
        <v>192</v>
      </c>
      <c r="L294" s="25"/>
      <c r="M294" s="25"/>
      <c r="N294" s="25"/>
      <c r="O294" s="25"/>
      <c r="P294" s="25"/>
      <c r="Q294" s="25"/>
      <c r="R294" s="25"/>
      <c r="S294" s="27">
        <f t="shared" si="189"/>
        <v>1956.96</v>
      </c>
      <c r="T294" s="28"/>
      <c r="U294" s="28"/>
      <c r="V294" s="28"/>
      <c r="W294" s="8"/>
      <c r="X294" s="28"/>
      <c r="Y294" s="28"/>
      <c r="Z294" s="28"/>
      <c r="AA294" s="28">
        <f>S294-Z294-Y294-X294</f>
        <v>1956.96</v>
      </c>
      <c r="AB294" s="28">
        <f>IF(H294-$AB$1&gt;365,AA294,0)</f>
        <v>0</v>
      </c>
      <c r="AC294" s="28">
        <f>IF(H294-$AB$1&lt;=365,AA294,0)</f>
        <v>1956.96</v>
      </c>
      <c r="AD294" s="28">
        <f>IF(H294="",AA294,0)</f>
        <v>0</v>
      </c>
      <c r="AE294" s="28">
        <f>IF(AND(H294-$AB$1&gt;365,H294-$AB$1&lt;=730),AB294,0)</f>
        <v>0</v>
      </c>
      <c r="AF294" s="28">
        <f>IF(AND(H294-$AB$1&gt;730,H294-$AB$1&lt;=1095),AB294,0)</f>
        <v>0</v>
      </c>
      <c r="AG294" s="28">
        <f>IF(AND(H294-$AB$1&gt;1095,H294-$AB$1&lt;=1825),AB294,0)</f>
        <v>0</v>
      </c>
      <c r="AH294" s="28">
        <f>IF(H294-$AB$1&gt;1825,AB294,0)</f>
        <v>0</v>
      </c>
      <c r="AJ294" s="12"/>
    </row>
    <row r="295" spans="1:36" ht="18.600000000000001" customHeight="1" x14ac:dyDescent="0.3">
      <c r="A295" s="90" t="s">
        <v>338</v>
      </c>
      <c r="B295" s="32">
        <v>1186841</v>
      </c>
      <c r="C295" s="83" t="s">
        <v>337</v>
      </c>
      <c r="D295" s="93" t="str">
        <f t="shared" si="245"/>
        <v/>
      </c>
      <c r="E295" s="22">
        <v>1108.22</v>
      </c>
      <c r="F295" s="22"/>
      <c r="G295" s="24">
        <v>45583</v>
      </c>
      <c r="H295" s="23">
        <v>45964</v>
      </c>
      <c r="I295" s="46">
        <v>0.3</v>
      </c>
      <c r="J295" s="46" t="s">
        <v>206</v>
      </c>
      <c r="K295" s="46" t="s">
        <v>192</v>
      </c>
      <c r="L295" s="25"/>
      <c r="M295" s="25"/>
      <c r="N295" s="25"/>
      <c r="O295" s="25"/>
      <c r="P295" s="25"/>
      <c r="Q295" s="25"/>
      <c r="R295" s="25"/>
      <c r="S295" s="27">
        <f t="shared" si="189"/>
        <v>1108.22</v>
      </c>
      <c r="T295" s="28"/>
      <c r="U295" s="28"/>
      <c r="V295" s="28"/>
      <c r="W295" s="8"/>
      <c r="X295" s="28"/>
      <c r="Y295" s="28"/>
      <c r="Z295" s="28"/>
      <c r="AA295" s="28">
        <f>S295-Z295-Y295-X295</f>
        <v>1108.22</v>
      </c>
      <c r="AB295" s="28">
        <f>IF(H295-$AB$1&gt;365,AA295,0)</f>
        <v>0</v>
      </c>
      <c r="AC295" s="28">
        <f>IF(H295-$AB$1&lt;=365,AA295,0)</f>
        <v>1108.22</v>
      </c>
      <c r="AD295" s="28">
        <f>IF(H295="",AA295,0)</f>
        <v>0</v>
      </c>
      <c r="AE295" s="28">
        <f>IF(AND(H295-$AB$1&gt;365,H295-$AB$1&lt;=730),AB295,0)</f>
        <v>0</v>
      </c>
      <c r="AF295" s="28">
        <f>IF(AND(H295-$AB$1&gt;730,H295-$AB$1&lt;=1095),AB295,0)</f>
        <v>0</v>
      </c>
      <c r="AG295" s="28">
        <f>IF(AND(H295-$AB$1&gt;1095,H295-$AB$1&lt;=1825),AB295,0)</f>
        <v>0</v>
      </c>
      <c r="AH295" s="28">
        <f>IF(H295-$AB$1&gt;1825,AB295,0)</f>
        <v>0</v>
      </c>
      <c r="AJ295" s="12"/>
    </row>
    <row r="296" spans="1:36" ht="18.600000000000001" customHeight="1" x14ac:dyDescent="0.3">
      <c r="A296" s="115"/>
      <c r="B296" s="116"/>
      <c r="C296" s="117"/>
      <c r="D296" s="118" t="str">
        <f>IF(W296&gt;0,"zwrócone","")</f>
        <v/>
      </c>
      <c r="E296" s="31">
        <f>SUBTOTAL(9,E292:E295)</f>
        <v>10217.280000000001</v>
      </c>
      <c r="F296" s="31"/>
      <c r="G296" s="119"/>
      <c r="H296" s="120"/>
      <c r="I296" s="115"/>
      <c r="J296" s="115"/>
      <c r="K296" s="115"/>
      <c r="L296" s="31">
        <f t="shared" ref="L296:Q296" si="248">SUBTOTAL(9,L292:L295)</f>
        <v>0</v>
      </c>
      <c r="M296" s="31">
        <f t="shared" si="248"/>
        <v>0</v>
      </c>
      <c r="N296" s="31">
        <f t="shared" si="248"/>
        <v>0</v>
      </c>
      <c r="O296" s="31">
        <f t="shared" si="248"/>
        <v>0</v>
      </c>
      <c r="P296" s="31">
        <f t="shared" si="248"/>
        <v>0</v>
      </c>
      <c r="Q296" s="31">
        <f t="shared" si="248"/>
        <v>0</v>
      </c>
      <c r="R296" s="31"/>
      <c r="S296" s="31">
        <f t="shared" si="189"/>
        <v>10217.280000000001</v>
      </c>
      <c r="T296" s="31">
        <f>SUBTOTAL(9,T292:T295)</f>
        <v>0</v>
      </c>
      <c r="U296" s="31">
        <f>SUBTOTAL(9,U292:U295)</f>
        <v>0</v>
      </c>
      <c r="V296" s="31">
        <f>SUBTOTAL(9,V292:V295)</f>
        <v>0</v>
      </c>
      <c r="W296" s="31"/>
      <c r="X296" s="31">
        <f t="shared" ref="X296:AH296" si="249">SUBTOTAL(9,X292:X295)</f>
        <v>0</v>
      </c>
      <c r="Y296" s="31">
        <f t="shared" si="249"/>
        <v>0</v>
      </c>
      <c r="Z296" s="31">
        <f t="shared" si="249"/>
        <v>2585.86</v>
      </c>
      <c r="AA296" s="31">
        <f t="shared" si="249"/>
        <v>7631.42</v>
      </c>
      <c r="AB296" s="31">
        <f t="shared" si="249"/>
        <v>0</v>
      </c>
      <c r="AC296" s="31">
        <f t="shared" si="249"/>
        <v>7631.42</v>
      </c>
      <c r="AD296" s="31">
        <f t="shared" si="249"/>
        <v>0</v>
      </c>
      <c r="AE296" s="31">
        <f t="shared" si="249"/>
        <v>0</v>
      </c>
      <c r="AF296" s="31">
        <f t="shared" si="249"/>
        <v>0</v>
      </c>
      <c r="AG296" s="31">
        <f t="shared" si="249"/>
        <v>0</v>
      </c>
      <c r="AH296" s="31">
        <f t="shared" si="249"/>
        <v>0</v>
      </c>
      <c r="AJ296" s="12"/>
    </row>
    <row r="297" spans="1:36" ht="18.600000000000001" customHeight="1" x14ac:dyDescent="0.3">
      <c r="A297" s="90" t="s">
        <v>331</v>
      </c>
      <c r="B297" s="32">
        <v>1189081</v>
      </c>
      <c r="C297" s="83" t="s">
        <v>312</v>
      </c>
      <c r="D297" s="93" t="str">
        <f>IF(W297&gt;0,"zwrócone","")</f>
        <v/>
      </c>
      <c r="E297" s="22">
        <v>7630</v>
      </c>
      <c r="F297" s="22"/>
      <c r="G297" s="24">
        <v>45506</v>
      </c>
      <c r="H297" s="23">
        <v>46019</v>
      </c>
      <c r="I297" s="46">
        <v>0.7</v>
      </c>
      <c r="J297" s="46" t="s">
        <v>206</v>
      </c>
      <c r="K297" s="46" t="s">
        <v>192</v>
      </c>
      <c r="L297" s="25"/>
      <c r="M297" s="25"/>
      <c r="N297" s="25"/>
      <c r="O297" s="25"/>
      <c r="P297" s="25"/>
      <c r="Q297" s="25"/>
      <c r="R297" s="25"/>
      <c r="S297" s="27">
        <f t="shared" si="189"/>
        <v>7630</v>
      </c>
      <c r="T297" s="28"/>
      <c r="U297" s="28"/>
      <c r="V297" s="28"/>
      <c r="W297" s="8"/>
      <c r="X297" s="28"/>
      <c r="Y297" s="28"/>
      <c r="Z297" s="28"/>
      <c r="AA297" s="28">
        <f>S297-Z297-Y297-X297</f>
        <v>7630</v>
      </c>
      <c r="AB297" s="28">
        <f>IF(H297-$AB$1&gt;365,AA297,0)</f>
        <v>0</v>
      </c>
      <c r="AC297" s="28">
        <f>IF(H297-$AB$1&lt;=365,AA297,0)</f>
        <v>7630</v>
      </c>
      <c r="AD297" s="28">
        <f>IF(H297="",AA297,0)</f>
        <v>0</v>
      </c>
      <c r="AE297" s="28">
        <f>IF(AND(H297-$AB$1&gt;365,H297-$AB$1&lt;=730),AB297,0)</f>
        <v>0</v>
      </c>
      <c r="AF297" s="28">
        <f>IF(AND(H297-$AB$1&gt;730,H297-$AB$1&lt;=1095),AB297,0)</f>
        <v>0</v>
      </c>
      <c r="AG297" s="28">
        <f>IF(AND(H297-$AB$1&gt;1095,H297-$AB$1&lt;=1825),AB297,0)</f>
        <v>0</v>
      </c>
      <c r="AH297" s="28">
        <f>IF(H297-$AB$1&gt;1825,AB297,0)</f>
        <v>0</v>
      </c>
      <c r="AJ297" s="12"/>
    </row>
    <row r="298" spans="1:36" ht="18.600000000000001" customHeight="1" x14ac:dyDescent="0.3">
      <c r="A298" s="90" t="s">
        <v>331</v>
      </c>
      <c r="B298" s="32">
        <v>1189081</v>
      </c>
      <c r="C298" s="83" t="s">
        <v>312</v>
      </c>
      <c r="D298" s="93" t="str">
        <f>IF(W298&gt;0,"zwrócone","")</f>
        <v/>
      </c>
      <c r="E298" s="22">
        <v>3270</v>
      </c>
      <c r="F298" s="22"/>
      <c r="G298" s="24" t="s">
        <v>313</v>
      </c>
      <c r="H298" s="23">
        <v>46749</v>
      </c>
      <c r="I298" s="46">
        <v>0.3</v>
      </c>
      <c r="J298" s="46" t="s">
        <v>206</v>
      </c>
      <c r="K298" s="46" t="s">
        <v>192</v>
      </c>
      <c r="L298" s="25"/>
      <c r="M298" s="25"/>
      <c r="N298" s="25"/>
      <c r="O298" s="25"/>
      <c r="P298" s="25"/>
      <c r="Q298" s="25"/>
      <c r="R298" s="25"/>
      <c r="S298" s="27">
        <f t="shared" si="189"/>
        <v>3270</v>
      </c>
      <c r="T298" s="28"/>
      <c r="U298" s="28"/>
      <c r="V298" s="28"/>
      <c r="W298" s="8"/>
      <c r="X298" s="28"/>
      <c r="Y298" s="28"/>
      <c r="Z298" s="28"/>
      <c r="AA298" s="28">
        <f>S298-Z298-Y298-X298</f>
        <v>3270</v>
      </c>
      <c r="AB298" s="28">
        <f>IF(H298-$AB$1&gt;365,AA298,0)</f>
        <v>3270</v>
      </c>
      <c r="AC298" s="28">
        <f>IF(H298-$AB$1&lt;=365,AA298,0)</f>
        <v>0</v>
      </c>
      <c r="AD298" s="28">
        <f>IF(H298="",AA298,0)</f>
        <v>0</v>
      </c>
      <c r="AE298" s="28">
        <f>IF(AND(H298-$AB$1&gt;365,H298-$AB$1&lt;=730),AB298,0)</f>
        <v>0</v>
      </c>
      <c r="AF298" s="28">
        <f>IF(AND(H298-$AB$1&gt;730,H298-$AB$1&lt;=1095),AB298,0)</f>
        <v>3270</v>
      </c>
      <c r="AG298" s="28">
        <f>IF(AND(H298-$AB$1&gt;1095,H298-$AB$1&lt;=1825),AB298,0)</f>
        <v>0</v>
      </c>
      <c r="AH298" s="28">
        <f>IF(H298-$AB$1&gt;1825,AB298,0)</f>
        <v>0</v>
      </c>
      <c r="AJ298" s="12"/>
    </row>
    <row r="299" spans="1:36" ht="18.600000000000001" customHeight="1" x14ac:dyDescent="0.3">
      <c r="A299" s="115"/>
      <c r="B299" s="116"/>
      <c r="C299" s="117"/>
      <c r="D299" s="118" t="str">
        <f>IF(W299&gt;0,"zwrócone","")</f>
        <v/>
      </c>
      <c r="E299" s="31">
        <f>SUBTOTAL(9,E297:E298)</f>
        <v>10900</v>
      </c>
      <c r="F299" s="31"/>
      <c r="G299" s="119"/>
      <c r="H299" s="120"/>
      <c r="I299" s="115"/>
      <c r="J299" s="115"/>
      <c r="K299" s="115"/>
      <c r="L299" s="31">
        <f t="shared" ref="L299:Q299" si="250">SUBTOTAL(9,L297:L298)</f>
        <v>0</v>
      </c>
      <c r="M299" s="31">
        <f t="shared" si="250"/>
        <v>0</v>
      </c>
      <c r="N299" s="31">
        <f t="shared" si="250"/>
        <v>0</v>
      </c>
      <c r="O299" s="31">
        <f t="shared" si="250"/>
        <v>0</v>
      </c>
      <c r="P299" s="31">
        <f t="shared" si="250"/>
        <v>0</v>
      </c>
      <c r="Q299" s="31">
        <f t="shared" si="250"/>
        <v>0</v>
      </c>
      <c r="R299" s="31"/>
      <c r="S299" s="31">
        <f t="shared" si="189"/>
        <v>10900</v>
      </c>
      <c r="T299" s="31">
        <f>SUBTOTAL(9,T297:T298)</f>
        <v>0</v>
      </c>
      <c r="U299" s="31">
        <f>SUBTOTAL(9,U297:U298)</f>
        <v>0</v>
      </c>
      <c r="V299" s="31">
        <f>SUBTOTAL(9,V297:V298)</f>
        <v>0</v>
      </c>
      <c r="W299" s="31"/>
      <c r="X299" s="31">
        <f t="shared" ref="X299:AH299" si="251">SUBTOTAL(9,X297:X298)</f>
        <v>0</v>
      </c>
      <c r="Y299" s="31">
        <f t="shared" si="251"/>
        <v>0</v>
      </c>
      <c r="Z299" s="31">
        <f t="shared" si="251"/>
        <v>0</v>
      </c>
      <c r="AA299" s="31">
        <f t="shared" si="251"/>
        <v>10900</v>
      </c>
      <c r="AB299" s="31">
        <f t="shared" si="251"/>
        <v>3270</v>
      </c>
      <c r="AC299" s="31">
        <f t="shared" si="251"/>
        <v>7630</v>
      </c>
      <c r="AD299" s="31">
        <f t="shared" si="251"/>
        <v>0</v>
      </c>
      <c r="AE299" s="31">
        <f t="shared" si="251"/>
        <v>0</v>
      </c>
      <c r="AF299" s="31">
        <f t="shared" si="251"/>
        <v>3270</v>
      </c>
      <c r="AG299" s="31">
        <f t="shared" si="251"/>
        <v>0</v>
      </c>
      <c r="AH299" s="31">
        <f t="shared" si="251"/>
        <v>0</v>
      </c>
      <c r="AJ299" s="12"/>
    </row>
    <row r="300" spans="1:36" ht="18.600000000000001" customHeight="1" x14ac:dyDescent="0.3">
      <c r="A300" s="6" t="s">
        <v>400</v>
      </c>
      <c r="B300" s="20">
        <v>1190996</v>
      </c>
      <c r="C300" s="83" t="s">
        <v>401</v>
      </c>
      <c r="D300" s="93" t="str">
        <f t="shared" ref="D300:D301" si="252">IF(W300&gt;0,"zwrócone","")</f>
        <v/>
      </c>
      <c r="E300" s="22">
        <v>5186.16</v>
      </c>
      <c r="F300" s="22"/>
      <c r="G300" s="24">
        <v>45834</v>
      </c>
      <c r="H300" s="23">
        <v>46052</v>
      </c>
      <c r="I300" s="46">
        <v>1</v>
      </c>
      <c r="J300" s="46" t="s">
        <v>206</v>
      </c>
      <c r="K300" s="46" t="s">
        <v>204</v>
      </c>
      <c r="L300" s="25"/>
      <c r="M300" s="25"/>
      <c r="N300" s="25"/>
      <c r="O300" s="25"/>
      <c r="P300" s="25"/>
      <c r="Q300" s="25"/>
      <c r="R300" s="25"/>
      <c r="S300" s="27">
        <f t="shared" ref="S300:S301" si="253">E300+L300+M300+N300+P300+O300+Q300+R300</f>
        <v>5186.16</v>
      </c>
      <c r="T300" s="28">
        <f>IF(H300-$T$1&gt;365,S300,0)</f>
        <v>0</v>
      </c>
      <c r="U300" s="28">
        <f>IF(H300-$T$1&lt;365,S300,0)</f>
        <v>5186.16</v>
      </c>
      <c r="V300" s="28">
        <f>IF(H300="",S300,0)</f>
        <v>0</v>
      </c>
      <c r="W300" s="8"/>
      <c r="X300" s="28"/>
      <c r="Y300" s="28"/>
      <c r="Z300" s="28"/>
      <c r="AA300" s="28">
        <f>S300-Z300-Y300-X300</f>
        <v>5186.16</v>
      </c>
      <c r="AB300" s="28">
        <f>IF(H300-$AB$1&gt;365,AA300,0)</f>
        <v>0</v>
      </c>
      <c r="AC300" s="28">
        <f>IF(H300-$AB$1&lt;=365,AA300,0)</f>
        <v>5186.16</v>
      </c>
      <c r="AD300" s="28">
        <f>IF(H300="",AA300,0)</f>
        <v>0</v>
      </c>
      <c r="AE300" s="28">
        <f>IF(AND(H300-$AB$1&gt;365,H300-$AB$1&lt;=730),AB300,0)</f>
        <v>0</v>
      </c>
      <c r="AF300" s="28">
        <f>IF(AND(H300-$AB$1&gt;730,H300-$AB$1&lt;=1095),AB300,0)</f>
        <v>0</v>
      </c>
      <c r="AG300" s="28">
        <f>IF(AND(H300-$AB$1&gt;1095,H300-$AB$1&lt;=1825),AB300,0)</f>
        <v>0</v>
      </c>
      <c r="AH300" s="28">
        <f>IF(H300-$AB$1&gt;1825,AB300,0)</f>
        <v>0</v>
      </c>
      <c r="AJ300" s="12"/>
    </row>
    <row r="301" spans="1:36" ht="18.600000000000001" customHeight="1" x14ac:dyDescent="0.3">
      <c r="A301" s="115"/>
      <c r="B301" s="116"/>
      <c r="C301" s="117"/>
      <c r="D301" s="118" t="str">
        <f t="shared" si="252"/>
        <v/>
      </c>
      <c r="E301" s="31">
        <f>SUBTOTAL(9,E300:E300)</f>
        <v>5186.16</v>
      </c>
      <c r="F301" s="31"/>
      <c r="G301" s="119"/>
      <c r="H301" s="120"/>
      <c r="I301" s="115"/>
      <c r="J301" s="115"/>
      <c r="K301" s="115"/>
      <c r="L301" s="31">
        <f t="shared" ref="L301:Q301" si="254">SUBTOTAL(9,L300:L300)</f>
        <v>0</v>
      </c>
      <c r="M301" s="31">
        <f t="shared" si="254"/>
        <v>0</v>
      </c>
      <c r="N301" s="31">
        <f t="shared" si="254"/>
        <v>0</v>
      </c>
      <c r="O301" s="31">
        <f t="shared" si="254"/>
        <v>0</v>
      </c>
      <c r="P301" s="31">
        <f t="shared" si="254"/>
        <v>0</v>
      </c>
      <c r="Q301" s="31">
        <f t="shared" si="254"/>
        <v>0</v>
      </c>
      <c r="R301" s="31"/>
      <c r="S301" s="31">
        <f t="shared" si="253"/>
        <v>5186.16</v>
      </c>
      <c r="T301" s="31">
        <f t="shared" ref="T301:V301" si="255">SUBTOTAL(9,T300:T300)</f>
        <v>0</v>
      </c>
      <c r="U301" s="31">
        <f t="shared" si="255"/>
        <v>5186.16</v>
      </c>
      <c r="V301" s="31">
        <f t="shared" si="255"/>
        <v>0</v>
      </c>
      <c r="W301" s="31"/>
      <c r="X301" s="31">
        <f t="shared" ref="X301:AH301" si="256">SUBTOTAL(9,X300:X300)</f>
        <v>0</v>
      </c>
      <c r="Y301" s="31">
        <f t="shared" si="256"/>
        <v>0</v>
      </c>
      <c r="Z301" s="31">
        <f t="shared" si="256"/>
        <v>0</v>
      </c>
      <c r="AA301" s="31">
        <f t="shared" si="256"/>
        <v>5186.16</v>
      </c>
      <c r="AB301" s="31">
        <f t="shared" si="256"/>
        <v>0</v>
      </c>
      <c r="AC301" s="31">
        <f t="shared" si="256"/>
        <v>5186.16</v>
      </c>
      <c r="AD301" s="31">
        <f t="shared" si="256"/>
        <v>0</v>
      </c>
      <c r="AE301" s="31">
        <f t="shared" si="256"/>
        <v>0</v>
      </c>
      <c r="AF301" s="31">
        <f t="shared" si="256"/>
        <v>0</v>
      </c>
      <c r="AG301" s="31">
        <f t="shared" si="256"/>
        <v>0</v>
      </c>
      <c r="AH301" s="31">
        <f t="shared" si="256"/>
        <v>0</v>
      </c>
      <c r="AJ301" s="12"/>
    </row>
    <row r="302" spans="1:36" ht="18.600000000000001" customHeight="1" x14ac:dyDescent="0.3">
      <c r="A302" s="6" t="s">
        <v>272</v>
      </c>
      <c r="B302" s="20">
        <v>1192113</v>
      </c>
      <c r="C302" s="83" t="s">
        <v>273</v>
      </c>
      <c r="D302" s="93" t="str">
        <f t="shared" si="245"/>
        <v/>
      </c>
      <c r="E302" s="22">
        <v>2292</v>
      </c>
      <c r="F302" s="22" t="s">
        <v>158</v>
      </c>
      <c r="G302" s="24">
        <v>45289</v>
      </c>
      <c r="H302" s="23">
        <v>46019</v>
      </c>
      <c r="I302" s="46">
        <v>0.3</v>
      </c>
      <c r="J302" s="46" t="s">
        <v>206</v>
      </c>
      <c r="K302" s="46" t="s">
        <v>192</v>
      </c>
      <c r="L302" s="25"/>
      <c r="M302" s="25"/>
      <c r="N302" s="25"/>
      <c r="O302" s="25"/>
      <c r="P302" s="25"/>
      <c r="Q302" s="25"/>
      <c r="R302" s="25"/>
      <c r="S302" s="27">
        <f t="shared" si="189"/>
        <v>2292</v>
      </c>
      <c r="T302" s="28">
        <f>IF(H302-$T$1&gt;365,S302,0)</f>
        <v>0</v>
      </c>
      <c r="U302" s="28">
        <f>IF(H302-$T$1&lt;365,S302,0)</f>
        <v>2292</v>
      </c>
      <c r="V302" s="28">
        <f>IF(H302="",S302,0)</f>
        <v>0</v>
      </c>
      <c r="W302" s="8"/>
      <c r="X302" s="28"/>
      <c r="Y302" s="28"/>
      <c r="Z302" s="28"/>
      <c r="AA302" s="28">
        <f>S302-Z302-Y302-X302</f>
        <v>2292</v>
      </c>
      <c r="AB302" s="28">
        <f>IF(H302-$AB$1&gt;365,AA302,0)</f>
        <v>0</v>
      </c>
      <c r="AC302" s="28">
        <f>IF(H302-$AB$1&lt;=365,AA302,0)</f>
        <v>2292</v>
      </c>
      <c r="AD302" s="28">
        <f>IF(H302="",AA302,0)</f>
        <v>0</v>
      </c>
      <c r="AE302" s="28">
        <f>IF(AND(H302-$AB$1&gt;365,H302-$AB$1&lt;=730),AB302,0)</f>
        <v>0</v>
      </c>
      <c r="AF302" s="28">
        <f>IF(AND(H302-$AB$1&gt;730,H302-$AB$1&lt;=1095),AB302,0)</f>
        <v>0</v>
      </c>
      <c r="AG302" s="28">
        <f>IF(AND(H302-$AB$1&gt;1095,H302-$AB$1&lt;=1825),AB302,0)</f>
        <v>0</v>
      </c>
      <c r="AH302" s="28">
        <f>IF(H302-$AB$1&gt;1825,AB302,0)</f>
        <v>0</v>
      </c>
      <c r="AJ302" s="12"/>
    </row>
    <row r="303" spans="1:36" ht="18.600000000000001" customHeight="1" x14ac:dyDescent="0.3">
      <c r="A303" s="115"/>
      <c r="B303" s="116"/>
      <c r="C303" s="117"/>
      <c r="D303" s="118" t="str">
        <f t="shared" ref="D303:D310" si="257">IF(W303&gt;0,"zwrócone","")</f>
        <v/>
      </c>
      <c r="E303" s="31">
        <f>SUBTOTAL(9,E302:E302)</f>
        <v>2292</v>
      </c>
      <c r="F303" s="31"/>
      <c r="G303" s="119"/>
      <c r="H303" s="120"/>
      <c r="I303" s="115"/>
      <c r="J303" s="115"/>
      <c r="K303" s="115"/>
      <c r="L303" s="31">
        <f t="shared" ref="L303:V303" si="258">SUBTOTAL(9,L302:L302)</f>
        <v>0</v>
      </c>
      <c r="M303" s="31">
        <f t="shared" si="258"/>
        <v>0</v>
      </c>
      <c r="N303" s="31">
        <f t="shared" si="258"/>
        <v>0</v>
      </c>
      <c r="O303" s="31">
        <f t="shared" si="258"/>
        <v>0</v>
      </c>
      <c r="P303" s="31">
        <f t="shared" si="258"/>
        <v>0</v>
      </c>
      <c r="Q303" s="31">
        <f t="shared" si="258"/>
        <v>0</v>
      </c>
      <c r="R303" s="31"/>
      <c r="S303" s="31">
        <f t="shared" ref="S303:S310" si="259">E303+L303+M303+N303+P303+O303+Q303+R303</f>
        <v>2292</v>
      </c>
      <c r="T303" s="31">
        <f t="shared" si="258"/>
        <v>0</v>
      </c>
      <c r="U303" s="31">
        <f t="shared" si="258"/>
        <v>2292</v>
      </c>
      <c r="V303" s="31">
        <f t="shared" si="258"/>
        <v>0</v>
      </c>
      <c r="W303" s="31"/>
      <c r="X303" s="31">
        <f t="shared" ref="X303:AH303" si="260">SUBTOTAL(9,X302:X302)</f>
        <v>0</v>
      </c>
      <c r="Y303" s="31">
        <f t="shared" si="260"/>
        <v>0</v>
      </c>
      <c r="Z303" s="31">
        <f t="shared" si="260"/>
        <v>0</v>
      </c>
      <c r="AA303" s="31">
        <f t="shared" si="260"/>
        <v>2292</v>
      </c>
      <c r="AB303" s="31">
        <f t="shared" si="260"/>
        <v>0</v>
      </c>
      <c r="AC303" s="31">
        <f t="shared" si="260"/>
        <v>2292</v>
      </c>
      <c r="AD303" s="31">
        <f t="shared" si="260"/>
        <v>0</v>
      </c>
      <c r="AE303" s="31">
        <f t="shared" si="260"/>
        <v>0</v>
      </c>
      <c r="AF303" s="31">
        <f t="shared" si="260"/>
        <v>0</v>
      </c>
      <c r="AG303" s="31">
        <f t="shared" si="260"/>
        <v>0</v>
      </c>
      <c r="AH303" s="31">
        <f t="shared" si="260"/>
        <v>0</v>
      </c>
      <c r="AJ303" s="12"/>
    </row>
    <row r="304" spans="1:36" ht="18.600000000000001" customHeight="1" x14ac:dyDescent="0.3">
      <c r="A304" s="85" t="s">
        <v>301</v>
      </c>
      <c r="B304" s="162">
        <v>1192622</v>
      </c>
      <c r="C304" s="157" t="s">
        <v>302</v>
      </c>
      <c r="D304" s="158" t="str">
        <f t="shared" si="257"/>
        <v>zwrócone</v>
      </c>
      <c r="E304" s="159">
        <v>8615</v>
      </c>
      <c r="F304" s="159" t="s">
        <v>158</v>
      </c>
      <c r="G304" s="160">
        <v>45386</v>
      </c>
      <c r="H304" s="84">
        <v>45687</v>
      </c>
      <c r="I304" s="170">
        <v>1</v>
      </c>
      <c r="J304" s="124" t="s">
        <v>206</v>
      </c>
      <c r="K304" s="124" t="s">
        <v>203</v>
      </c>
      <c r="L304" s="25"/>
      <c r="M304" s="25"/>
      <c r="N304" s="25"/>
      <c r="O304" s="25"/>
      <c r="P304" s="25"/>
      <c r="Q304" s="25"/>
      <c r="R304" s="25"/>
      <c r="S304" s="27">
        <f t="shared" si="259"/>
        <v>8615</v>
      </c>
      <c r="T304" s="28">
        <f>IF(H304-$T$1&gt;365,S304,0)</f>
        <v>0</v>
      </c>
      <c r="U304" s="28">
        <f>IF(H304-$T$1&lt;365,S304,0)</f>
        <v>8615</v>
      </c>
      <c r="V304" s="28">
        <f>IF(H304="",S304,0)</f>
        <v>0</v>
      </c>
      <c r="W304" s="37">
        <v>45735</v>
      </c>
      <c r="X304" s="28"/>
      <c r="Y304" s="28"/>
      <c r="Z304" s="28">
        <v>8615</v>
      </c>
      <c r="AA304" s="28">
        <f>S304-Z304-Y304-X304</f>
        <v>0</v>
      </c>
      <c r="AB304" s="28">
        <f>IF(H304-$AB$1&gt;365,AA304,0)</f>
        <v>0</v>
      </c>
      <c r="AC304" s="28">
        <f>IF(H304-$AB$1&lt;=365,AA304,0)</f>
        <v>0</v>
      </c>
      <c r="AD304" s="28">
        <f>IF(H304="",AA304,0)</f>
        <v>0</v>
      </c>
      <c r="AE304" s="28">
        <f>IF(AND(H304-$AB$1&gt;365,H304-$AB$1&lt;=730),AB304,0)</f>
        <v>0</v>
      </c>
      <c r="AF304" s="28">
        <f>IF(AND(H304-$AB$1&gt;730,H304-$AB$1&lt;=1095),AB304,0)</f>
        <v>0</v>
      </c>
      <c r="AG304" s="28">
        <f>IF(AND(H304-$AB$1&gt;1095,H304-$AB$1&lt;=1825),AB304,0)</f>
        <v>0</v>
      </c>
      <c r="AH304" s="28">
        <f>IF(H304-$AB$1&gt;1825,AB304,0)</f>
        <v>0</v>
      </c>
      <c r="AJ304" s="12"/>
    </row>
    <row r="305" spans="1:36" ht="18.600000000000001" customHeight="1" x14ac:dyDescent="0.3">
      <c r="A305" s="115"/>
      <c r="B305" s="116"/>
      <c r="C305" s="117"/>
      <c r="D305" s="118" t="str">
        <f t="shared" si="257"/>
        <v/>
      </c>
      <c r="E305" s="31">
        <f>SUBTOTAL(9,E304:E304)</f>
        <v>8615</v>
      </c>
      <c r="F305" s="31"/>
      <c r="G305" s="31"/>
      <c r="H305" s="31"/>
      <c r="I305" s="136"/>
      <c r="J305" s="136"/>
      <c r="K305" s="136"/>
      <c r="L305" s="31">
        <f>SUBTOTAL(9,L304:L304)</f>
        <v>0</v>
      </c>
      <c r="M305" s="31">
        <f>SUBTOTAL(9,M304:M304)</f>
        <v>0</v>
      </c>
      <c r="N305" s="31">
        <f>SUBTOTAL(9,N304:N304)</f>
        <v>0</v>
      </c>
      <c r="O305" s="31">
        <f>SUBTOTAL(9,O304:O304)</f>
        <v>0</v>
      </c>
      <c r="P305" s="31">
        <f>SUBTOTAL(9,P304:P304)</f>
        <v>0</v>
      </c>
      <c r="Q305" s="31">
        <f t="shared" ref="Q305:V305" si="261">SUBTOTAL(9,Q304:Q304)</f>
        <v>0</v>
      </c>
      <c r="R305" s="31"/>
      <c r="S305" s="31">
        <f t="shared" si="259"/>
        <v>8615</v>
      </c>
      <c r="T305" s="31">
        <f t="shared" si="261"/>
        <v>0</v>
      </c>
      <c r="U305" s="31">
        <f t="shared" si="261"/>
        <v>8615</v>
      </c>
      <c r="V305" s="31">
        <f t="shared" si="261"/>
        <v>0</v>
      </c>
      <c r="W305" s="31"/>
      <c r="X305" s="31">
        <f t="shared" ref="X305:AH305" si="262">SUBTOTAL(9,X304:X304)</f>
        <v>0</v>
      </c>
      <c r="Y305" s="31">
        <f t="shared" si="262"/>
        <v>0</v>
      </c>
      <c r="Z305" s="31">
        <f t="shared" si="262"/>
        <v>8615</v>
      </c>
      <c r="AA305" s="31">
        <f t="shared" si="262"/>
        <v>0</v>
      </c>
      <c r="AB305" s="31">
        <f t="shared" si="262"/>
        <v>0</v>
      </c>
      <c r="AC305" s="31">
        <f t="shared" si="262"/>
        <v>0</v>
      </c>
      <c r="AD305" s="31">
        <f t="shared" si="262"/>
        <v>0</v>
      </c>
      <c r="AE305" s="31">
        <f t="shared" si="262"/>
        <v>0</v>
      </c>
      <c r="AF305" s="31">
        <f t="shared" si="262"/>
        <v>0</v>
      </c>
      <c r="AG305" s="31">
        <f t="shared" si="262"/>
        <v>0</v>
      </c>
      <c r="AH305" s="31">
        <f t="shared" si="262"/>
        <v>0</v>
      </c>
      <c r="AJ305" s="12"/>
    </row>
    <row r="306" spans="1:36" ht="18.600000000000001" customHeight="1" x14ac:dyDescent="0.3">
      <c r="A306" s="6" t="s">
        <v>295</v>
      </c>
      <c r="B306" s="20">
        <v>1194033</v>
      </c>
      <c r="C306" s="83" t="s">
        <v>296</v>
      </c>
      <c r="D306" s="93" t="str">
        <f t="shared" si="257"/>
        <v/>
      </c>
      <c r="E306" s="22">
        <v>10150</v>
      </c>
      <c r="F306" s="22" t="s">
        <v>158</v>
      </c>
      <c r="G306" s="24">
        <v>45336</v>
      </c>
      <c r="H306" s="23">
        <v>46052</v>
      </c>
      <c r="I306" s="46">
        <v>0.7</v>
      </c>
      <c r="J306" s="46" t="s">
        <v>206</v>
      </c>
      <c r="K306" s="46" t="s">
        <v>203</v>
      </c>
      <c r="L306" s="25"/>
      <c r="M306" s="25"/>
      <c r="N306" s="25"/>
      <c r="O306" s="25"/>
      <c r="P306" s="25"/>
      <c r="Q306" s="25"/>
      <c r="R306" s="25"/>
      <c r="S306" s="27">
        <f t="shared" si="259"/>
        <v>10150</v>
      </c>
      <c r="T306" s="28">
        <f>IF(H306-$T$1&gt;365,S306,0)</f>
        <v>0</v>
      </c>
      <c r="U306" s="28">
        <f>IF(H306-$T$1&lt;365,S306,0)</f>
        <v>10150</v>
      </c>
      <c r="V306" s="28">
        <f>IF(H306="",S306,0)</f>
        <v>0</v>
      </c>
      <c r="W306" s="37"/>
      <c r="X306" s="28"/>
      <c r="Y306" s="28"/>
      <c r="Z306" s="28"/>
      <c r="AA306" s="28">
        <f>S306-Z306-Y306-X306</f>
        <v>10150</v>
      </c>
      <c r="AB306" s="28">
        <f>IF(H306-$AB$1&gt;365,AA306,0)</f>
        <v>0</v>
      </c>
      <c r="AC306" s="28">
        <f>IF(H306-$AB$1&lt;=365,AA306,0)</f>
        <v>10150</v>
      </c>
      <c r="AD306" s="28">
        <f>IF(H306="",AA306,0)</f>
        <v>0</v>
      </c>
      <c r="AE306" s="28">
        <f>IF(AND(H306-$AB$1&gt;365,H306-$AB$1&lt;=730),AB306,0)</f>
        <v>0</v>
      </c>
      <c r="AF306" s="28">
        <f>IF(AND(H306-$AB$1&gt;730,H306-$AB$1&lt;=1095),AB306,0)</f>
        <v>0</v>
      </c>
      <c r="AG306" s="28">
        <f>IF(AND(H306-$AB$1&gt;1095,H306-$AB$1&lt;=1825),AB306,0)</f>
        <v>0</v>
      </c>
      <c r="AH306" s="28">
        <f>IF(H306-$AB$1&gt;1825,AB306,0)</f>
        <v>0</v>
      </c>
      <c r="AJ306" s="12"/>
    </row>
    <row r="307" spans="1:36" ht="18.600000000000001" customHeight="1" x14ac:dyDescent="0.3">
      <c r="A307" s="6" t="s">
        <v>295</v>
      </c>
      <c r="B307" s="20">
        <v>1194033</v>
      </c>
      <c r="C307" s="83" t="s">
        <v>296</v>
      </c>
      <c r="D307" s="93" t="str">
        <f t="shared" si="257"/>
        <v/>
      </c>
      <c r="E307" s="22">
        <v>4350</v>
      </c>
      <c r="F307" s="22" t="s">
        <v>158</v>
      </c>
      <c r="G307" s="24">
        <v>45336</v>
      </c>
      <c r="H307" s="23">
        <v>46767</v>
      </c>
      <c r="I307" s="46">
        <v>0.3</v>
      </c>
      <c r="J307" s="46" t="s">
        <v>206</v>
      </c>
      <c r="K307" s="46" t="s">
        <v>203</v>
      </c>
      <c r="L307" s="25"/>
      <c r="M307" s="25"/>
      <c r="N307" s="25"/>
      <c r="O307" s="25"/>
      <c r="P307" s="25"/>
      <c r="Q307" s="25"/>
      <c r="R307" s="25"/>
      <c r="S307" s="27">
        <f t="shared" si="259"/>
        <v>4350</v>
      </c>
      <c r="T307" s="28">
        <f>IF(H307-$T$1&gt;365,S307,0)</f>
        <v>4350</v>
      </c>
      <c r="U307" s="28">
        <f>IF(H307-$T$1&lt;365,S307,0)</f>
        <v>0</v>
      </c>
      <c r="V307" s="28">
        <f>IF(H307="",S307,0)</f>
        <v>0</v>
      </c>
      <c r="W307" s="8"/>
      <c r="X307" s="28"/>
      <c r="Y307" s="28"/>
      <c r="Z307" s="28"/>
      <c r="AA307" s="28">
        <f>S307-Z307-Y307-X307</f>
        <v>4350</v>
      </c>
      <c r="AB307" s="28">
        <f>IF(H307-$AB$1&gt;365,AA307,0)</f>
        <v>4350</v>
      </c>
      <c r="AC307" s="28">
        <f>IF(H307-$AB$1&lt;=365,AA307,0)</f>
        <v>0</v>
      </c>
      <c r="AD307" s="28">
        <f>IF(H307="",AA307,0)</f>
        <v>0</v>
      </c>
      <c r="AE307" s="28">
        <f>IF(AND(H307-$AB$1&gt;365,H307-$AB$1&lt;=730),AB307,0)</f>
        <v>0</v>
      </c>
      <c r="AF307" s="28">
        <f>IF(AND(H307-$AB$1&gt;730,H307-$AB$1&lt;=1095),AB307,0)</f>
        <v>4350</v>
      </c>
      <c r="AG307" s="28">
        <f>IF(AND(H307-$AB$1&gt;1095,H307-$AB$1&lt;=1825),AB307,0)</f>
        <v>0</v>
      </c>
      <c r="AH307" s="28">
        <f>IF(H307-$AB$1&gt;1825,AB307,0)</f>
        <v>0</v>
      </c>
      <c r="AJ307" s="12"/>
    </row>
    <row r="308" spans="1:36" ht="18.600000000000001" customHeight="1" x14ac:dyDescent="0.3">
      <c r="A308" s="115"/>
      <c r="B308" s="116"/>
      <c r="C308" s="117"/>
      <c r="D308" s="118" t="str">
        <f t="shared" si="257"/>
        <v/>
      </c>
      <c r="E308" s="31">
        <f>SUBTOTAL(9,E306:E307)</f>
        <v>14500</v>
      </c>
      <c r="F308" s="31"/>
      <c r="G308" s="119"/>
      <c r="H308" s="120"/>
      <c r="I308" s="115"/>
      <c r="J308" s="115"/>
      <c r="K308" s="115"/>
      <c r="L308" s="31">
        <f t="shared" ref="L308:Q308" si="263">SUBTOTAL(9,L306:L307)</f>
        <v>0</v>
      </c>
      <c r="M308" s="31">
        <f t="shared" si="263"/>
        <v>0</v>
      </c>
      <c r="N308" s="31">
        <f t="shared" si="263"/>
        <v>0</v>
      </c>
      <c r="O308" s="31">
        <f t="shared" si="263"/>
        <v>0</v>
      </c>
      <c r="P308" s="31">
        <f t="shared" si="263"/>
        <v>0</v>
      </c>
      <c r="Q308" s="31">
        <f t="shared" si="263"/>
        <v>0</v>
      </c>
      <c r="R308" s="31"/>
      <c r="S308" s="31">
        <f t="shared" si="259"/>
        <v>14500</v>
      </c>
      <c r="T308" s="31">
        <f>SUBTOTAL(9,T306:T307)</f>
        <v>4350</v>
      </c>
      <c r="U308" s="31">
        <f>SUBTOTAL(9,U306:U307)</f>
        <v>10150</v>
      </c>
      <c r="V308" s="31">
        <f>SUBTOTAL(9,V306:V307)</f>
        <v>0</v>
      </c>
      <c r="W308" s="31"/>
      <c r="X308" s="31">
        <f t="shared" ref="X308:AH308" si="264">SUBTOTAL(9,X306:X307)</f>
        <v>0</v>
      </c>
      <c r="Y308" s="31">
        <f t="shared" si="264"/>
        <v>0</v>
      </c>
      <c r="Z308" s="31">
        <f t="shared" si="264"/>
        <v>0</v>
      </c>
      <c r="AA308" s="31">
        <f t="shared" si="264"/>
        <v>14500</v>
      </c>
      <c r="AB308" s="31">
        <f t="shared" si="264"/>
        <v>4350</v>
      </c>
      <c r="AC308" s="31">
        <f t="shared" si="264"/>
        <v>10150</v>
      </c>
      <c r="AD308" s="31">
        <f t="shared" si="264"/>
        <v>0</v>
      </c>
      <c r="AE308" s="31">
        <f t="shared" si="264"/>
        <v>0</v>
      </c>
      <c r="AF308" s="31">
        <f t="shared" si="264"/>
        <v>4350</v>
      </c>
      <c r="AG308" s="31">
        <f t="shared" si="264"/>
        <v>0</v>
      </c>
      <c r="AH308" s="31">
        <f t="shared" si="264"/>
        <v>0</v>
      </c>
      <c r="AJ308" s="12"/>
    </row>
    <row r="309" spans="1:36" ht="18.600000000000001" customHeight="1" x14ac:dyDescent="0.3">
      <c r="A309" s="6" t="s">
        <v>324</v>
      </c>
      <c r="B309" s="20">
        <v>1206257</v>
      </c>
      <c r="C309" s="83" t="s">
        <v>325</v>
      </c>
      <c r="D309" s="93" t="str">
        <f t="shared" si="257"/>
        <v/>
      </c>
      <c r="E309" s="22">
        <v>6330</v>
      </c>
      <c r="F309" s="22" t="s">
        <v>158</v>
      </c>
      <c r="G309" s="24">
        <v>45565</v>
      </c>
      <c r="H309" s="23">
        <v>46286</v>
      </c>
      <c r="I309" s="46">
        <v>0.3</v>
      </c>
      <c r="J309" s="46" t="s">
        <v>206</v>
      </c>
      <c r="K309" s="46" t="s">
        <v>203</v>
      </c>
      <c r="L309" s="25"/>
      <c r="M309" s="25"/>
      <c r="N309" s="25"/>
      <c r="O309" s="25"/>
      <c r="P309" s="25"/>
      <c r="Q309" s="25"/>
      <c r="R309" s="25"/>
      <c r="S309" s="27">
        <f t="shared" si="259"/>
        <v>6330</v>
      </c>
      <c r="T309" s="28">
        <f>IF(H309-$T$1&gt;365,S309,0)</f>
        <v>0</v>
      </c>
      <c r="U309" s="28">
        <f>IF(H309-$T$1&lt;365,S309,0)</f>
        <v>6330</v>
      </c>
      <c r="V309" s="28">
        <f>IF(H309="",S309,0)</f>
        <v>0</v>
      </c>
      <c r="W309" s="8"/>
      <c r="X309" s="28"/>
      <c r="Y309" s="28"/>
      <c r="Z309" s="28"/>
      <c r="AA309" s="28">
        <f>S309-Z309-Y309-X309</f>
        <v>6330</v>
      </c>
      <c r="AB309" s="28">
        <f>IF(H309-$AB$1&gt;365,AA309,0)</f>
        <v>0</v>
      </c>
      <c r="AC309" s="28">
        <f>IF(H309-$AB$1&lt;=365,AA309,0)</f>
        <v>6330</v>
      </c>
      <c r="AD309" s="28">
        <f>IF(H309="",AA309,0)</f>
        <v>0</v>
      </c>
      <c r="AE309" s="28">
        <f>IF(AND(H309-$AB$1&gt;365,H309-$AB$1&lt;=730),AB309,0)</f>
        <v>0</v>
      </c>
      <c r="AF309" s="28">
        <f>IF(AND(H309-$AB$1&gt;730,H309-$AB$1&lt;=1095),AB309,0)</f>
        <v>0</v>
      </c>
      <c r="AG309" s="28">
        <f>IF(AND(H309-$AB$1&gt;1095,H309-$AB$1&lt;=1825),AB309,0)</f>
        <v>0</v>
      </c>
      <c r="AH309" s="28">
        <f>IF(H309-$AB$1&gt;1825,AB309,0)</f>
        <v>0</v>
      </c>
      <c r="AJ309" s="12"/>
    </row>
    <row r="310" spans="1:36" ht="18.600000000000001" customHeight="1" x14ac:dyDescent="0.3">
      <c r="A310" s="115"/>
      <c r="B310" s="116"/>
      <c r="C310" s="117"/>
      <c r="D310" s="118" t="str">
        <f t="shared" si="257"/>
        <v/>
      </c>
      <c r="E310" s="31">
        <f>SUBTOTAL(9,E309:E309)</f>
        <v>6330</v>
      </c>
      <c r="F310" s="31"/>
      <c r="G310" s="119"/>
      <c r="H310" s="120"/>
      <c r="I310" s="115"/>
      <c r="J310" s="115"/>
      <c r="K310" s="115"/>
      <c r="L310" s="31">
        <f t="shared" ref="L310:V310" si="265">SUBTOTAL(9,L309:L309)</f>
        <v>0</v>
      </c>
      <c r="M310" s="31">
        <f t="shared" si="265"/>
        <v>0</v>
      </c>
      <c r="N310" s="31">
        <f t="shared" si="265"/>
        <v>0</v>
      </c>
      <c r="O310" s="31">
        <f t="shared" si="265"/>
        <v>0</v>
      </c>
      <c r="P310" s="31">
        <f t="shared" si="265"/>
        <v>0</v>
      </c>
      <c r="Q310" s="31">
        <f t="shared" si="265"/>
        <v>0</v>
      </c>
      <c r="R310" s="31"/>
      <c r="S310" s="31">
        <f t="shared" si="259"/>
        <v>6330</v>
      </c>
      <c r="T310" s="31">
        <f t="shared" si="265"/>
        <v>0</v>
      </c>
      <c r="U310" s="31">
        <f t="shared" si="265"/>
        <v>6330</v>
      </c>
      <c r="V310" s="31">
        <f t="shared" si="265"/>
        <v>0</v>
      </c>
      <c r="W310" s="31"/>
      <c r="X310" s="31">
        <f t="shared" ref="X310:AH310" si="266">SUBTOTAL(9,X309:X309)</f>
        <v>0</v>
      </c>
      <c r="Y310" s="31">
        <f t="shared" si="266"/>
        <v>0</v>
      </c>
      <c r="Z310" s="31">
        <f t="shared" si="266"/>
        <v>0</v>
      </c>
      <c r="AA310" s="31">
        <f t="shared" si="266"/>
        <v>6330</v>
      </c>
      <c r="AB310" s="31">
        <f t="shared" si="266"/>
        <v>0</v>
      </c>
      <c r="AC310" s="31">
        <f t="shared" si="266"/>
        <v>6330</v>
      </c>
      <c r="AD310" s="31">
        <f t="shared" si="266"/>
        <v>0</v>
      </c>
      <c r="AE310" s="31">
        <f t="shared" si="266"/>
        <v>0</v>
      </c>
      <c r="AF310" s="31">
        <f t="shared" si="266"/>
        <v>0</v>
      </c>
      <c r="AG310" s="31">
        <f t="shared" si="266"/>
        <v>0</v>
      </c>
      <c r="AH310" s="31">
        <f t="shared" si="266"/>
        <v>0</v>
      </c>
      <c r="AJ310" s="12"/>
    </row>
    <row r="311" spans="1:36" ht="18.600000000000001" customHeight="1" x14ac:dyDescent="0.3">
      <c r="A311" s="6" t="s">
        <v>339</v>
      </c>
      <c r="B311" s="32">
        <v>2100019</v>
      </c>
      <c r="C311" s="83" t="s">
        <v>340</v>
      </c>
      <c r="D311" s="93"/>
      <c r="E311" s="22">
        <v>870.9</v>
      </c>
      <c r="F311" s="22"/>
      <c r="G311" s="24">
        <v>45566</v>
      </c>
      <c r="H311" s="23">
        <v>46325</v>
      </c>
      <c r="I311" s="170">
        <v>1</v>
      </c>
      <c r="J311" s="124" t="s">
        <v>257</v>
      </c>
      <c r="K311" s="124" t="s">
        <v>341</v>
      </c>
      <c r="L311" s="25"/>
      <c r="M311" s="25"/>
      <c r="N311" s="25"/>
      <c r="O311" s="25"/>
      <c r="P311" s="25"/>
      <c r="Q311" s="25">
        <f>ROUND((E311*5.31%),2)</f>
        <v>46.24</v>
      </c>
      <c r="R311" s="25"/>
      <c r="S311" s="27">
        <f t="shared" ref="S311:S315" si="267">E311+L311+M311+N311+P311+O311+Q311+R311</f>
        <v>917.14</v>
      </c>
      <c r="T311" s="28">
        <f>IF(H311-$T$1&gt;365,S311,0)</f>
        <v>917.14</v>
      </c>
      <c r="U311" s="28">
        <f>IF(H311-$T$1&lt;365,S311,0)</f>
        <v>0</v>
      </c>
      <c r="V311" s="28">
        <f>IF(H311="",S311,0)</f>
        <v>0</v>
      </c>
      <c r="W311" s="37"/>
      <c r="X311" s="28"/>
      <c r="Y311" s="28"/>
      <c r="Z311" s="28"/>
      <c r="AA311" s="28">
        <f>S311-Z311-Y311-X311</f>
        <v>917.14</v>
      </c>
      <c r="AB311" s="28">
        <f>IF(H311-$AB$1&gt;365,AA311,0)</f>
        <v>917.14</v>
      </c>
      <c r="AC311" s="28">
        <f>IF(H311-$AB$1&lt;=365,AA311,0)</f>
        <v>0</v>
      </c>
      <c r="AD311" s="28">
        <f>IF(H311="",AA311,0)</f>
        <v>0</v>
      </c>
      <c r="AE311" s="28">
        <f>IF(AND(H311-$AB$1&gt;365,H311-$AB$1&lt;=730),AB311,0)</f>
        <v>917.14</v>
      </c>
      <c r="AF311" s="28">
        <f>IF(AND(H311-$AB$1&gt;730,H311-$AB$1&lt;=1095),AB311,0)</f>
        <v>0</v>
      </c>
      <c r="AG311" s="28">
        <f>IF(AND(H311-$AB$1&gt;1095,H311-$AB$1&lt;=1825),AB311,0)</f>
        <v>0</v>
      </c>
      <c r="AH311" s="28">
        <f>IF(H311-$AB$1&gt;1825,AB311,0)</f>
        <v>0</v>
      </c>
    </row>
    <row r="312" spans="1:36" ht="18.600000000000001" customHeight="1" x14ac:dyDescent="0.3">
      <c r="A312" s="115"/>
      <c r="B312" s="116"/>
      <c r="C312" s="117"/>
      <c r="D312" s="118" t="str">
        <f>IF(W312&gt;0,"zwrócone","")</f>
        <v/>
      </c>
      <c r="E312" s="31">
        <f>SUBTOTAL(9,E311:E311)</f>
        <v>870.9</v>
      </c>
      <c r="F312" s="31"/>
      <c r="G312" s="31"/>
      <c r="H312" s="31"/>
      <c r="I312" s="136"/>
      <c r="J312" s="136"/>
      <c r="K312" s="136"/>
      <c r="L312" s="31">
        <f>SUBTOTAL(9,L311:L311)</f>
        <v>0</v>
      </c>
      <c r="M312" s="31">
        <f>SUBTOTAL(9,M311:M311)</f>
        <v>0</v>
      </c>
      <c r="N312" s="31">
        <f>SUBTOTAL(9,N311:N311)</f>
        <v>0</v>
      </c>
      <c r="O312" s="31">
        <f>SUBTOTAL(9,O311:O311)</f>
        <v>0</v>
      </c>
      <c r="P312" s="31">
        <f>SUBTOTAL(9,P311:P311)</f>
        <v>0</v>
      </c>
      <c r="Q312" s="31">
        <f t="shared" ref="Q312" si="268">SUBTOTAL(9,Q311:Q311)</f>
        <v>46.24</v>
      </c>
      <c r="R312" s="31"/>
      <c r="S312" s="31">
        <f t="shared" si="267"/>
        <v>917.14</v>
      </c>
      <c r="T312" s="31">
        <f t="shared" ref="T312:V312" si="269">SUBTOTAL(9,T311:T311)</f>
        <v>917.14</v>
      </c>
      <c r="U312" s="31">
        <f t="shared" si="269"/>
        <v>0</v>
      </c>
      <c r="V312" s="31">
        <f t="shared" si="269"/>
        <v>0</v>
      </c>
      <c r="W312" s="31"/>
      <c r="X312" s="31">
        <f t="shared" ref="X312:AH312" si="270">SUBTOTAL(9,X311:X311)</f>
        <v>0</v>
      </c>
      <c r="Y312" s="31">
        <f t="shared" si="270"/>
        <v>0</v>
      </c>
      <c r="Z312" s="31">
        <f t="shared" si="270"/>
        <v>0</v>
      </c>
      <c r="AA312" s="31">
        <f t="shared" si="270"/>
        <v>917.14</v>
      </c>
      <c r="AB312" s="31">
        <f t="shared" si="270"/>
        <v>917.14</v>
      </c>
      <c r="AC312" s="31">
        <f t="shared" si="270"/>
        <v>0</v>
      </c>
      <c r="AD312" s="31">
        <f t="shared" si="270"/>
        <v>0</v>
      </c>
      <c r="AE312" s="31">
        <f t="shared" si="270"/>
        <v>917.14</v>
      </c>
      <c r="AF312" s="31">
        <f t="shared" si="270"/>
        <v>0</v>
      </c>
      <c r="AG312" s="31">
        <f t="shared" si="270"/>
        <v>0</v>
      </c>
      <c r="AH312" s="31">
        <f t="shared" si="270"/>
        <v>0</v>
      </c>
      <c r="AJ312" s="12"/>
    </row>
    <row r="313" spans="1:36" ht="18.600000000000001" customHeight="1" x14ac:dyDescent="0.3">
      <c r="A313" s="6" t="s">
        <v>402</v>
      </c>
      <c r="B313" s="20">
        <v>1216459</v>
      </c>
      <c r="C313" s="83" t="s">
        <v>403</v>
      </c>
      <c r="D313" s="93" t="str">
        <f t="shared" ref="D313:D315" si="271">IF(W313&gt;0,"zwrócone","")</f>
        <v/>
      </c>
      <c r="E313" s="22">
        <v>3990</v>
      </c>
      <c r="F313" s="22"/>
      <c r="G313" s="24">
        <v>45818</v>
      </c>
      <c r="H313" s="23">
        <v>46021</v>
      </c>
      <c r="I313" s="46">
        <v>0.7</v>
      </c>
      <c r="J313" s="46" t="s">
        <v>206</v>
      </c>
      <c r="K313" s="46" t="s">
        <v>204</v>
      </c>
      <c r="L313" s="25"/>
      <c r="M313" s="25"/>
      <c r="N313" s="25"/>
      <c r="O313" s="25"/>
      <c r="P313" s="25"/>
      <c r="Q313" s="25"/>
      <c r="R313" s="25"/>
      <c r="S313" s="27">
        <f t="shared" si="267"/>
        <v>3990</v>
      </c>
      <c r="T313" s="28">
        <f>IF(H313-$T$1&gt;365,S313,0)</f>
        <v>0</v>
      </c>
      <c r="U313" s="28">
        <f>IF(H313-$T$1&lt;365,S313,0)</f>
        <v>3990</v>
      </c>
      <c r="V313" s="28">
        <f>IF(H313="",S313,0)</f>
        <v>0</v>
      </c>
      <c r="W313" s="37"/>
      <c r="X313" s="28"/>
      <c r="Y313" s="28"/>
      <c r="Z313" s="28"/>
      <c r="AA313" s="28">
        <f>S313-Z313-Y313-X313</f>
        <v>3990</v>
      </c>
      <c r="AB313" s="28">
        <f>IF(H313-$AB$1&gt;365,AA313,0)</f>
        <v>0</v>
      </c>
      <c r="AC313" s="28">
        <f>IF(H313-$AB$1&lt;=365,AA313,0)</f>
        <v>3990</v>
      </c>
      <c r="AD313" s="28">
        <f>IF(H313="",AA313,0)</f>
        <v>0</v>
      </c>
      <c r="AE313" s="28">
        <f>IF(AND(H313-$AB$1&gt;365,H313-$AB$1&lt;=730),AB313,0)</f>
        <v>0</v>
      </c>
      <c r="AF313" s="28">
        <f>IF(AND(H313-$AB$1&gt;730,H313-$AB$1&lt;=1095),AB313,0)</f>
        <v>0</v>
      </c>
      <c r="AG313" s="28">
        <f>IF(AND(H313-$AB$1&gt;1095,H313-$AB$1&lt;=1825),AB313,0)</f>
        <v>0</v>
      </c>
      <c r="AH313" s="28">
        <f>IF(H313-$AB$1&gt;1825,AB313,0)</f>
        <v>0</v>
      </c>
      <c r="AJ313" s="12"/>
    </row>
    <row r="314" spans="1:36" ht="18.600000000000001" customHeight="1" x14ac:dyDescent="0.3">
      <c r="A314" s="6" t="s">
        <v>402</v>
      </c>
      <c r="B314" s="20">
        <v>1216459</v>
      </c>
      <c r="C314" s="83" t="s">
        <v>403</v>
      </c>
      <c r="D314" s="93" t="str">
        <f t="shared" si="271"/>
        <v/>
      </c>
      <c r="E314" s="22">
        <v>1710</v>
      </c>
      <c r="F314" s="22"/>
      <c r="G314" s="24">
        <v>45818</v>
      </c>
      <c r="H314" s="23">
        <v>46691</v>
      </c>
      <c r="I314" s="46">
        <v>0.3</v>
      </c>
      <c r="J314" s="46" t="s">
        <v>206</v>
      </c>
      <c r="K314" s="46" t="s">
        <v>204</v>
      </c>
      <c r="L314" s="25"/>
      <c r="M314" s="25"/>
      <c r="N314" s="25"/>
      <c r="O314" s="25"/>
      <c r="P314" s="25"/>
      <c r="Q314" s="25"/>
      <c r="R314" s="25"/>
      <c r="S314" s="27">
        <f t="shared" si="267"/>
        <v>1710</v>
      </c>
      <c r="T314" s="28">
        <f>IF(H314-$T$1&gt;365,S314,0)</f>
        <v>1710</v>
      </c>
      <c r="U314" s="28">
        <f>IF(H314-$T$1&lt;365,S314,0)</f>
        <v>0</v>
      </c>
      <c r="V314" s="28">
        <f>IF(H314="",S314,0)</f>
        <v>0</v>
      </c>
      <c r="W314" s="8"/>
      <c r="X314" s="28"/>
      <c r="Y314" s="28"/>
      <c r="Z314" s="28"/>
      <c r="AA314" s="28">
        <f>S314-Z314-Y314-X314</f>
        <v>1710</v>
      </c>
      <c r="AB314" s="28">
        <f>IF(H314-$AB$1&gt;365,AA314,0)</f>
        <v>1710</v>
      </c>
      <c r="AC314" s="28">
        <f>IF(H314-$AB$1&lt;=365,AA314,0)</f>
        <v>0</v>
      </c>
      <c r="AD314" s="28">
        <f>IF(H314="",AA314,0)</f>
        <v>0</v>
      </c>
      <c r="AE314" s="28">
        <f>IF(AND(H314-$AB$1&gt;365,H314-$AB$1&lt;=730),AB314,0)</f>
        <v>0</v>
      </c>
      <c r="AF314" s="28">
        <f>IF(AND(H314-$AB$1&gt;730,H314-$AB$1&lt;=1095),AB314,0)</f>
        <v>1710</v>
      </c>
      <c r="AG314" s="28">
        <f>IF(AND(H314-$AB$1&gt;1095,H314-$AB$1&lt;=1825),AB314,0)</f>
        <v>0</v>
      </c>
      <c r="AH314" s="28">
        <f>IF(H314-$AB$1&gt;1825,AB314,0)</f>
        <v>0</v>
      </c>
      <c r="AJ314" s="12"/>
    </row>
    <row r="315" spans="1:36" ht="18.600000000000001" customHeight="1" x14ac:dyDescent="0.3">
      <c r="A315" s="115"/>
      <c r="B315" s="116"/>
      <c r="C315" s="117"/>
      <c r="D315" s="118" t="str">
        <f t="shared" si="271"/>
        <v/>
      </c>
      <c r="E315" s="31">
        <f>SUBTOTAL(9,E313:E314)</f>
        <v>5700</v>
      </c>
      <c r="F315" s="31"/>
      <c r="G315" s="119"/>
      <c r="H315" s="120"/>
      <c r="I315" s="115"/>
      <c r="J315" s="115"/>
      <c r="K315" s="115"/>
      <c r="L315" s="31">
        <f t="shared" ref="L315:Q315" si="272">SUBTOTAL(9,L313:L314)</f>
        <v>0</v>
      </c>
      <c r="M315" s="31">
        <f t="shared" si="272"/>
        <v>0</v>
      </c>
      <c r="N315" s="31">
        <f t="shared" si="272"/>
        <v>0</v>
      </c>
      <c r="O315" s="31">
        <f t="shared" si="272"/>
        <v>0</v>
      </c>
      <c r="P315" s="31">
        <f t="shared" si="272"/>
        <v>0</v>
      </c>
      <c r="Q315" s="31">
        <f t="shared" si="272"/>
        <v>0</v>
      </c>
      <c r="R315" s="31"/>
      <c r="S315" s="31">
        <f t="shared" si="267"/>
        <v>5700</v>
      </c>
      <c r="T315" s="31">
        <f>SUBTOTAL(9,T313:T314)</f>
        <v>1710</v>
      </c>
      <c r="U315" s="31">
        <f>SUBTOTAL(9,U313:U314)</f>
        <v>3990</v>
      </c>
      <c r="V315" s="31">
        <f>SUBTOTAL(9,V313:V314)</f>
        <v>0</v>
      </c>
      <c r="W315" s="31"/>
      <c r="X315" s="31">
        <f t="shared" ref="X315:AH315" si="273">SUBTOTAL(9,X313:X314)</f>
        <v>0</v>
      </c>
      <c r="Y315" s="31">
        <f t="shared" si="273"/>
        <v>0</v>
      </c>
      <c r="Z315" s="31">
        <f t="shared" si="273"/>
        <v>0</v>
      </c>
      <c r="AA315" s="31">
        <f t="shared" si="273"/>
        <v>5700</v>
      </c>
      <c r="AB315" s="31">
        <f t="shared" si="273"/>
        <v>1710</v>
      </c>
      <c r="AC315" s="31">
        <f t="shared" si="273"/>
        <v>3990</v>
      </c>
      <c r="AD315" s="31">
        <f t="shared" si="273"/>
        <v>0</v>
      </c>
      <c r="AE315" s="31">
        <f t="shared" si="273"/>
        <v>0</v>
      </c>
      <c r="AF315" s="31">
        <f t="shared" si="273"/>
        <v>1710</v>
      </c>
      <c r="AG315" s="31">
        <f t="shared" si="273"/>
        <v>0</v>
      </c>
      <c r="AH315" s="31">
        <f t="shared" si="273"/>
        <v>0</v>
      </c>
      <c r="AJ315" s="12"/>
    </row>
    <row r="316" spans="1:36" ht="15.75" customHeight="1" x14ac:dyDescent="0.3">
      <c r="D316" s="10"/>
      <c r="E316" s="55">
        <f>SUBTOTAL(9,E4:E315)</f>
        <v>1939399.1999999997</v>
      </c>
      <c r="F316" s="74"/>
      <c r="G316" s="73"/>
      <c r="H316" s="74"/>
      <c r="I316" s="125" t="s">
        <v>200</v>
      </c>
      <c r="J316" s="141"/>
      <c r="K316" s="141"/>
      <c r="L316" s="38">
        <f t="shared" ref="L316:Q316" si="274">SUBTOTAL(9,L4:L315)</f>
        <v>6827.1899999999914</v>
      </c>
      <c r="M316" s="38">
        <f t="shared" si="274"/>
        <v>1213.9999999999998</v>
      </c>
      <c r="N316" s="38">
        <f t="shared" si="274"/>
        <v>176.83999999999995</v>
      </c>
      <c r="O316" s="38">
        <f t="shared" si="274"/>
        <v>31140.210000000006</v>
      </c>
      <c r="P316" s="55">
        <f t="shared" si="274"/>
        <v>39370.999999999993</v>
      </c>
      <c r="Q316" s="55">
        <f t="shared" si="274"/>
        <v>33987.949999999997</v>
      </c>
      <c r="R316" s="55"/>
      <c r="S316" s="55">
        <f>SUBTOTAL(9,S4:S315)</f>
        <v>4038964.4600000014</v>
      </c>
      <c r="T316" s="38">
        <f>SUBTOTAL(9,T4:T315)</f>
        <v>286024.05999999994</v>
      </c>
      <c r="U316" s="38">
        <f>SUBTOTAL(9,U4:U315)</f>
        <v>942310.37</v>
      </c>
      <c r="V316" s="38">
        <f>SUBTOTAL(9,V4:V315)</f>
        <v>0</v>
      </c>
      <c r="W316" s="38"/>
      <c r="X316" s="88">
        <f t="shared" ref="X316:AH316" si="275">SUBTOTAL(9,X4:X315)</f>
        <v>13404.15</v>
      </c>
      <c r="Y316" s="38">
        <f t="shared" si="275"/>
        <v>1814.0799999999997</v>
      </c>
      <c r="Z316" s="38">
        <f t="shared" si="275"/>
        <v>438131.29</v>
      </c>
      <c r="AA316" s="69">
        <f t="shared" si="275"/>
        <v>1600580.9499999993</v>
      </c>
      <c r="AB316" s="69">
        <f t="shared" si="275"/>
        <v>530641.56000000017</v>
      </c>
      <c r="AC316" s="69">
        <f t="shared" si="275"/>
        <v>1069939.3899999999</v>
      </c>
      <c r="AD316" s="69">
        <f t="shared" si="275"/>
        <v>0</v>
      </c>
      <c r="AE316" s="69">
        <f t="shared" si="275"/>
        <v>220487.92</v>
      </c>
      <c r="AF316" s="69">
        <f t="shared" si="275"/>
        <v>270860.46999999997</v>
      </c>
      <c r="AG316" s="69">
        <f t="shared" si="275"/>
        <v>39293.17</v>
      </c>
      <c r="AH316" s="69">
        <f t="shared" si="275"/>
        <v>0</v>
      </c>
      <c r="AJ316" s="12"/>
    </row>
    <row r="317" spans="1:36" ht="15.75" customHeight="1" x14ac:dyDescent="0.3">
      <c r="D317" s="10"/>
      <c r="E317" s="39"/>
      <c r="F317" s="39"/>
      <c r="G317" s="52"/>
      <c r="I317" s="126"/>
      <c r="J317" s="126"/>
      <c r="K317" s="126"/>
      <c r="L317" s="206" t="s">
        <v>352</v>
      </c>
      <c r="M317" s="206"/>
      <c r="N317" s="206"/>
      <c r="O317" s="16">
        <f>90200.54+39082.3</f>
        <v>129282.84</v>
      </c>
      <c r="P317" s="54"/>
      <c r="Q317" s="41"/>
      <c r="R317" s="41"/>
      <c r="AA317" s="205" t="s">
        <v>77</v>
      </c>
      <c r="AB317" s="205"/>
      <c r="AJ317" s="12"/>
    </row>
    <row r="318" spans="1:36" ht="15.75" customHeight="1" x14ac:dyDescent="0.3">
      <c r="D318" s="10"/>
      <c r="E318" s="40"/>
      <c r="F318" s="40"/>
      <c r="I318" s="126"/>
      <c r="J318" s="126"/>
      <c r="K318" s="126"/>
      <c r="L318" s="204" t="s">
        <v>209</v>
      </c>
      <c r="M318" s="204"/>
      <c r="N318" s="204"/>
      <c r="O318" s="16">
        <f>O317-L316-M316-N316-O316-P316-Q316</f>
        <v>16565.650000000016</v>
      </c>
      <c r="P318" s="41"/>
      <c r="Q318" s="41"/>
      <c r="R318" s="41"/>
      <c r="S318" s="16"/>
      <c r="AA318" s="71" t="s">
        <v>79</v>
      </c>
      <c r="AB318" s="72">
        <f>AB316+AD316</f>
        <v>530641.56000000017</v>
      </c>
      <c r="AJ318" s="12"/>
    </row>
    <row r="319" spans="1:36" ht="15.75" customHeight="1" x14ac:dyDescent="0.3">
      <c r="D319" s="10"/>
      <c r="E319" s="42"/>
      <c r="F319" s="42"/>
      <c r="G319" s="52"/>
      <c r="I319" s="126"/>
      <c r="J319" s="126"/>
      <c r="K319" s="126"/>
      <c r="L319" s="203" t="s">
        <v>210</v>
      </c>
      <c r="M319" s="203"/>
      <c r="N319" s="203"/>
      <c r="O319" s="16">
        <f>X316</f>
        <v>13404.15</v>
      </c>
      <c r="P319" s="41"/>
      <c r="Q319" s="41"/>
      <c r="R319" s="41"/>
      <c r="S319" s="16"/>
      <c r="AA319" s="71" t="s">
        <v>92</v>
      </c>
      <c r="AB319" s="72">
        <f>AC316-AD316</f>
        <v>1069939.3899999999</v>
      </c>
      <c r="AJ319" s="12"/>
    </row>
    <row r="320" spans="1:36" s="10" customFormat="1" ht="14.4" customHeight="1" x14ac:dyDescent="0.3">
      <c r="A320" s="113" t="s">
        <v>152</v>
      </c>
      <c r="F320" s="113"/>
      <c r="G320" s="52"/>
      <c r="I320" s="126"/>
      <c r="J320" s="126"/>
      <c r="K320" s="126"/>
      <c r="L320" s="204" t="s">
        <v>211</v>
      </c>
      <c r="M320" s="204"/>
      <c r="N320" s="204"/>
      <c r="O320" s="16">
        <f>O317-O319-O318</f>
        <v>99313.039999999979</v>
      </c>
      <c r="P320" s="41"/>
      <c r="Q320" s="41"/>
      <c r="R320" s="41"/>
      <c r="S320" s="16"/>
      <c r="X320" s="43"/>
      <c r="Y320" s="43"/>
      <c r="Z320" s="43"/>
      <c r="AB320" s="148">
        <f>AB319+AB318-AA316</f>
        <v>0</v>
      </c>
      <c r="AJ320" s="180"/>
    </row>
    <row r="321" spans="1:36" s="10" customFormat="1" ht="12" customHeight="1" x14ac:dyDescent="0.3">
      <c r="A321" s="114" t="s">
        <v>226</v>
      </c>
      <c r="F321" s="114"/>
      <c r="G321" s="52"/>
      <c r="I321" s="126"/>
      <c r="J321" s="126"/>
      <c r="K321" s="126"/>
      <c r="L321" s="12"/>
      <c r="M321" s="12"/>
      <c r="N321" s="12"/>
      <c r="O321" s="12"/>
      <c r="P321" s="41"/>
      <c r="Q321" s="41"/>
      <c r="R321" s="41"/>
      <c r="S321" s="12"/>
      <c r="X321" s="43"/>
      <c r="Y321" s="43"/>
      <c r="Z321" s="43"/>
      <c r="AA321" s="43"/>
      <c r="AB321" s="9"/>
      <c r="AJ321" s="180"/>
    </row>
    <row r="322" spans="1:36" ht="8.4" customHeight="1" x14ac:dyDescent="0.3">
      <c r="A322" s="114" t="s">
        <v>225</v>
      </c>
      <c r="F322" s="114"/>
      <c r="I322" s="89"/>
      <c r="J322" s="89"/>
      <c r="K322" s="89"/>
      <c r="AA322" s="16"/>
      <c r="AJ322" s="12"/>
    </row>
    <row r="323" spans="1:36" x14ac:dyDescent="0.3">
      <c r="E323" s="40"/>
      <c r="F323" s="40"/>
      <c r="I323" s="89"/>
      <c r="J323" s="89"/>
      <c r="K323" s="89"/>
      <c r="P323" s="16"/>
      <c r="Q323" s="16"/>
      <c r="R323" s="16"/>
      <c r="S323" s="16"/>
      <c r="AA323" s="16"/>
    </row>
    <row r="324" spans="1:36" x14ac:dyDescent="0.3">
      <c r="E324" s="40"/>
      <c r="I324" s="89"/>
      <c r="J324" s="89"/>
      <c r="K324" s="193"/>
      <c r="L324" s="44"/>
      <c r="M324" s="44"/>
      <c r="N324" s="44"/>
      <c r="O324" s="44"/>
      <c r="AA324" s="16"/>
    </row>
    <row r="325" spans="1:36" x14ac:dyDescent="0.3">
      <c r="E325" s="40"/>
      <c r="I325" s="89"/>
      <c r="J325" s="89"/>
      <c r="K325" s="193"/>
      <c r="L325" s="44"/>
      <c r="M325" s="44"/>
      <c r="N325" s="44"/>
      <c r="O325" s="44"/>
      <c r="AA325" s="16"/>
    </row>
    <row r="326" spans="1:36" x14ac:dyDescent="0.3">
      <c r="K326" s="126"/>
      <c r="L326" s="44"/>
      <c r="M326" s="44"/>
      <c r="N326" s="44"/>
      <c r="O326" s="44"/>
    </row>
    <row r="327" spans="1:36" x14ac:dyDescent="0.3">
      <c r="K327" s="126"/>
      <c r="L327" s="44"/>
      <c r="M327" s="44"/>
      <c r="N327" s="44"/>
      <c r="O327" s="44"/>
      <c r="AA327" s="16"/>
    </row>
    <row r="328" spans="1:36" x14ac:dyDescent="0.3">
      <c r="K328" s="126"/>
      <c r="L328" s="44"/>
      <c r="M328" s="44"/>
      <c r="N328" s="44"/>
      <c r="O328" s="44"/>
    </row>
    <row r="329" spans="1:36" x14ac:dyDescent="0.3">
      <c r="K329" s="126"/>
      <c r="L329" s="44"/>
      <c r="M329" s="44"/>
      <c r="N329" s="44"/>
      <c r="O329" s="44"/>
    </row>
    <row r="330" spans="1:36" x14ac:dyDescent="0.3">
      <c r="K330" s="126"/>
      <c r="L330" s="44"/>
      <c r="M330" s="44"/>
      <c r="N330" s="44"/>
      <c r="O330" s="44"/>
    </row>
    <row r="331" spans="1:36" x14ac:dyDescent="0.3">
      <c r="K331" s="126"/>
      <c r="L331" s="44"/>
      <c r="M331" s="44"/>
      <c r="N331" s="44"/>
      <c r="O331" s="44"/>
    </row>
    <row r="332" spans="1:36" x14ac:dyDescent="0.3">
      <c r="K332" s="126"/>
      <c r="L332" s="44"/>
      <c r="M332" s="44"/>
      <c r="N332" s="44"/>
      <c r="O332" s="44"/>
    </row>
    <row r="333" spans="1:36" x14ac:dyDescent="0.3">
      <c r="K333" s="126"/>
      <c r="L333" s="44"/>
      <c r="M333" s="44"/>
      <c r="N333" s="44"/>
      <c r="O333" s="44"/>
    </row>
    <row r="334" spans="1:36" x14ac:dyDescent="0.3">
      <c r="K334" s="126"/>
      <c r="L334" s="44"/>
      <c r="M334" s="44"/>
      <c r="N334" s="44"/>
      <c r="O334" s="44"/>
    </row>
    <row r="335" spans="1:36" x14ac:dyDescent="0.3">
      <c r="K335" s="126"/>
      <c r="L335" s="44"/>
      <c r="M335" s="44"/>
      <c r="N335" s="44"/>
      <c r="O335" s="44"/>
    </row>
    <row r="336" spans="1:36" x14ac:dyDescent="0.3">
      <c r="K336" s="126"/>
      <c r="L336" s="44"/>
      <c r="M336" s="44"/>
      <c r="N336" s="44"/>
      <c r="O336" s="44"/>
    </row>
    <row r="337" spans="11:15" x14ac:dyDescent="0.3">
      <c r="K337" s="126"/>
      <c r="L337" s="44"/>
      <c r="M337" s="44"/>
      <c r="N337" s="44"/>
      <c r="O337" s="44"/>
    </row>
    <row r="338" spans="11:15" x14ac:dyDescent="0.3">
      <c r="K338" s="126"/>
      <c r="L338" s="44"/>
      <c r="M338" s="44"/>
      <c r="N338" s="44"/>
      <c r="O338" s="44"/>
    </row>
    <row r="339" spans="11:15" x14ac:dyDescent="0.3">
      <c r="K339" s="126"/>
      <c r="L339" s="44"/>
      <c r="M339" s="44"/>
      <c r="N339" s="44"/>
      <c r="O339" s="44"/>
    </row>
    <row r="340" spans="11:15" x14ac:dyDescent="0.3">
      <c r="K340" s="126"/>
      <c r="L340" s="44"/>
      <c r="M340" s="44"/>
      <c r="N340" s="44"/>
      <c r="O340" s="44"/>
    </row>
    <row r="341" spans="11:15" x14ac:dyDescent="0.3">
      <c r="K341" s="126"/>
      <c r="L341" s="44"/>
      <c r="M341" s="44"/>
      <c r="N341" s="44"/>
      <c r="O341" s="44"/>
    </row>
  </sheetData>
  <autoFilter ref="A3:AH322"/>
  <sortState ref="A388:AD391">
    <sortCondition ref="I388:I391"/>
  </sortState>
  <mergeCells count="5">
    <mergeCell ref="L319:N319"/>
    <mergeCell ref="L320:N320"/>
    <mergeCell ref="AA317:AB317"/>
    <mergeCell ref="L317:N317"/>
    <mergeCell ref="L318:N31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6"/>
  <sheetViews>
    <sheetView topLeftCell="A70" workbookViewId="0">
      <selection activeCell="A94" sqref="A94"/>
    </sheetView>
  </sheetViews>
  <sheetFormatPr defaultColWidth="8.88671875" defaultRowHeight="14.4" x14ac:dyDescent="0.3"/>
  <cols>
    <col min="1" max="1" width="26" style="143" customWidth="1"/>
    <col min="2" max="2" width="8.88671875" style="143"/>
    <col min="3" max="3" width="26.109375" style="143" customWidth="1"/>
    <col min="4" max="5" width="8.88671875" style="143"/>
    <col min="6" max="6" width="11.6640625" style="143" customWidth="1"/>
    <col min="7" max="7" width="12.6640625" style="143" customWidth="1"/>
    <col min="8" max="8" width="13.5546875" style="143" customWidth="1"/>
    <col min="9" max="9" width="10.88671875" style="151" customWidth="1"/>
    <col min="10" max="10" width="14.6640625" style="143" customWidth="1"/>
    <col min="11" max="11" width="32" style="145" customWidth="1"/>
    <col min="12" max="12" width="11.88671875" style="171" customWidth="1"/>
    <col min="13" max="15" width="14.33203125" style="143" customWidth="1"/>
    <col min="16" max="16384" width="8.88671875" style="143"/>
  </cols>
  <sheetData>
    <row r="1" spans="1:12" x14ac:dyDescent="0.3">
      <c r="A1" s="186" t="s">
        <v>364</v>
      </c>
      <c r="B1" s="32"/>
      <c r="C1" s="83"/>
      <c r="D1" s="93"/>
      <c r="E1" s="22"/>
      <c r="F1" s="22"/>
      <c r="G1" s="24"/>
      <c r="H1" s="23"/>
      <c r="I1" s="170"/>
      <c r="J1" s="124"/>
      <c r="K1" s="185"/>
    </row>
    <row r="2" spans="1:12" ht="36" x14ac:dyDescent="0.3">
      <c r="A2" s="57" t="s">
        <v>0</v>
      </c>
      <c r="B2" s="57" t="s">
        <v>1</v>
      </c>
      <c r="C2" s="57" t="s">
        <v>2</v>
      </c>
      <c r="D2" s="92" t="s">
        <v>121</v>
      </c>
      <c r="E2" s="58" t="s">
        <v>3</v>
      </c>
      <c r="F2" s="58"/>
      <c r="G2" s="59" t="s">
        <v>87</v>
      </c>
      <c r="H2" s="94" t="s">
        <v>4</v>
      </c>
      <c r="I2" s="122" t="s">
        <v>97</v>
      </c>
      <c r="J2" s="122" t="s">
        <v>205</v>
      </c>
    </row>
    <row r="3" spans="1:12" x14ac:dyDescent="0.3">
      <c r="A3" s="115" t="s">
        <v>187</v>
      </c>
      <c r="B3" s="116">
        <v>1018955</v>
      </c>
      <c r="C3" s="117" t="s">
        <v>186</v>
      </c>
      <c r="D3" s="118" t="str">
        <f>IF(W3&gt;0,"zwrócone","")</f>
        <v/>
      </c>
      <c r="E3" s="144">
        <v>1728</v>
      </c>
      <c r="F3" s="144"/>
      <c r="G3" s="119">
        <v>45015</v>
      </c>
      <c r="H3" s="120">
        <v>45731</v>
      </c>
      <c r="I3" s="140">
        <v>0.3</v>
      </c>
      <c r="J3" s="140" t="s">
        <v>203</v>
      </c>
      <c r="K3" s="140" t="s">
        <v>203</v>
      </c>
      <c r="L3" s="172" t="s">
        <v>202</v>
      </c>
    </row>
    <row r="4" spans="1:12" x14ac:dyDescent="0.3">
      <c r="A4" s="115" t="s">
        <v>276</v>
      </c>
      <c r="B4" s="117">
        <v>1022809</v>
      </c>
      <c r="C4" s="117" t="s">
        <v>292</v>
      </c>
      <c r="D4" s="118" t="s">
        <v>201</v>
      </c>
      <c r="E4" s="144">
        <v>1344.32</v>
      </c>
      <c r="F4" s="144" t="s">
        <v>158</v>
      </c>
      <c r="G4" s="119">
        <v>45335</v>
      </c>
      <c r="H4" s="120">
        <v>45668</v>
      </c>
      <c r="I4" s="140">
        <v>0.3</v>
      </c>
      <c r="J4" s="140" t="s">
        <v>203</v>
      </c>
      <c r="K4" s="140" t="s">
        <v>203</v>
      </c>
      <c r="L4" s="172" t="s">
        <v>202</v>
      </c>
    </row>
    <row r="5" spans="1:12" ht="20.399999999999999" x14ac:dyDescent="0.3">
      <c r="A5" s="115" t="s">
        <v>180</v>
      </c>
      <c r="B5" s="117">
        <v>1025692</v>
      </c>
      <c r="C5" s="117" t="s">
        <v>161</v>
      </c>
      <c r="D5" s="118" t="s">
        <v>201</v>
      </c>
      <c r="E5" s="144">
        <v>2495.58</v>
      </c>
      <c r="F5" s="144"/>
      <c r="G5" s="119">
        <v>44929</v>
      </c>
      <c r="H5" s="120">
        <v>45699</v>
      </c>
      <c r="I5" s="140">
        <v>0.3</v>
      </c>
      <c r="J5" s="140" t="s">
        <v>203</v>
      </c>
      <c r="K5" s="140" t="s">
        <v>203</v>
      </c>
      <c r="L5" s="172" t="s">
        <v>202</v>
      </c>
    </row>
    <row r="6" spans="1:12" x14ac:dyDescent="0.3">
      <c r="A6" s="130" t="s">
        <v>150</v>
      </c>
      <c r="B6" s="131">
        <v>1040660</v>
      </c>
      <c r="C6" s="117" t="s">
        <v>151</v>
      </c>
      <c r="D6" s="118" t="s">
        <v>201</v>
      </c>
      <c r="E6" s="144">
        <v>966.64</v>
      </c>
      <c r="F6" s="144"/>
      <c r="G6" s="119">
        <v>44896</v>
      </c>
      <c r="H6" s="120">
        <v>45671</v>
      </c>
      <c r="I6" s="140">
        <v>0.3</v>
      </c>
      <c r="J6" s="140" t="s">
        <v>203</v>
      </c>
      <c r="K6" s="140" t="s">
        <v>203</v>
      </c>
      <c r="L6" s="172" t="s">
        <v>202</v>
      </c>
    </row>
    <row r="7" spans="1:12" x14ac:dyDescent="0.3">
      <c r="A7" s="130" t="s">
        <v>127</v>
      </c>
      <c r="B7" s="131">
        <v>1040932</v>
      </c>
      <c r="C7" s="117" t="s">
        <v>214</v>
      </c>
      <c r="D7" s="118" t="s">
        <v>201</v>
      </c>
      <c r="E7" s="144">
        <v>12730.65</v>
      </c>
      <c r="F7" s="144"/>
      <c r="G7" s="119">
        <v>45056</v>
      </c>
      <c r="H7" s="120">
        <v>45687</v>
      </c>
      <c r="I7" s="140">
        <v>0.7</v>
      </c>
      <c r="J7" s="115" t="s">
        <v>203</v>
      </c>
      <c r="K7" s="115" t="s">
        <v>203</v>
      </c>
      <c r="L7" s="172"/>
    </row>
    <row r="8" spans="1:12" x14ac:dyDescent="0.3">
      <c r="A8" s="130" t="s">
        <v>136</v>
      </c>
      <c r="B8" s="131">
        <v>1041028</v>
      </c>
      <c r="C8" s="117" t="s">
        <v>233</v>
      </c>
      <c r="D8" s="118" t="s">
        <v>201</v>
      </c>
      <c r="E8" s="144">
        <v>9900</v>
      </c>
      <c r="F8" s="144" t="s">
        <v>158</v>
      </c>
      <c r="G8" s="119">
        <v>45134</v>
      </c>
      <c r="H8" s="120">
        <v>45687</v>
      </c>
      <c r="I8" s="140">
        <v>1</v>
      </c>
      <c r="J8" s="115" t="s">
        <v>203</v>
      </c>
      <c r="K8" s="115" t="s">
        <v>203</v>
      </c>
      <c r="L8" s="172" t="s">
        <v>202</v>
      </c>
    </row>
    <row r="9" spans="1:12" x14ac:dyDescent="0.3">
      <c r="A9" s="130" t="s">
        <v>136</v>
      </c>
      <c r="B9" s="131">
        <v>1041028</v>
      </c>
      <c r="C9" s="117" t="s">
        <v>238</v>
      </c>
      <c r="D9" s="118" t="s">
        <v>201</v>
      </c>
      <c r="E9" s="144">
        <v>9856</v>
      </c>
      <c r="F9" s="144" t="s">
        <v>158</v>
      </c>
      <c r="G9" s="119">
        <v>45152</v>
      </c>
      <c r="H9" s="120">
        <v>45687</v>
      </c>
      <c r="I9" s="140">
        <v>1</v>
      </c>
      <c r="J9" s="115" t="s">
        <v>203</v>
      </c>
      <c r="K9" s="115" t="s">
        <v>203</v>
      </c>
      <c r="L9" s="172" t="s">
        <v>202</v>
      </c>
    </row>
    <row r="10" spans="1:12" x14ac:dyDescent="0.3">
      <c r="A10" s="115" t="s">
        <v>42</v>
      </c>
      <c r="B10" s="116">
        <v>1043336</v>
      </c>
      <c r="C10" s="117" t="s">
        <v>120</v>
      </c>
      <c r="D10" s="118" t="s">
        <v>201</v>
      </c>
      <c r="E10" s="144">
        <v>3905.28</v>
      </c>
      <c r="F10" s="144"/>
      <c r="G10" s="119">
        <v>44359</v>
      </c>
      <c r="H10" s="120">
        <v>45672</v>
      </c>
      <c r="I10" s="140">
        <v>0.3</v>
      </c>
      <c r="J10" s="115" t="s">
        <v>203</v>
      </c>
      <c r="K10" s="115" t="s">
        <v>203</v>
      </c>
      <c r="L10" s="172" t="s">
        <v>202</v>
      </c>
    </row>
    <row r="11" spans="1:12" x14ac:dyDescent="0.3">
      <c r="A11" s="115" t="s">
        <v>42</v>
      </c>
      <c r="B11" s="116">
        <v>1043336</v>
      </c>
      <c r="C11" s="117" t="s">
        <v>278</v>
      </c>
      <c r="D11" s="118" t="s">
        <v>201</v>
      </c>
      <c r="E11" s="144">
        <v>6305.28</v>
      </c>
      <c r="F11" s="144"/>
      <c r="G11" s="119">
        <v>45274</v>
      </c>
      <c r="H11" s="120">
        <v>45678</v>
      </c>
      <c r="I11" s="169">
        <v>0.3</v>
      </c>
      <c r="J11" s="115" t="s">
        <v>203</v>
      </c>
      <c r="K11" s="115" t="s">
        <v>203</v>
      </c>
      <c r="L11" s="172" t="s">
        <v>202</v>
      </c>
    </row>
    <row r="12" spans="1:12" x14ac:dyDescent="0.3">
      <c r="A12" s="115" t="s">
        <v>252</v>
      </c>
      <c r="B12" s="116">
        <v>1044284</v>
      </c>
      <c r="C12" s="117" t="s">
        <v>308</v>
      </c>
      <c r="D12" s="118" t="s">
        <v>201</v>
      </c>
      <c r="E12" s="144">
        <v>29600</v>
      </c>
      <c r="F12" s="144" t="s">
        <v>158</v>
      </c>
      <c r="G12" s="119">
        <v>45453</v>
      </c>
      <c r="H12" s="120">
        <v>45688</v>
      </c>
      <c r="I12" s="140">
        <v>1</v>
      </c>
      <c r="J12" s="115" t="s">
        <v>203</v>
      </c>
      <c r="K12" s="115" t="s">
        <v>203</v>
      </c>
      <c r="L12" s="172"/>
    </row>
    <row r="13" spans="1:12" x14ac:dyDescent="0.3">
      <c r="A13" s="115" t="s">
        <v>49</v>
      </c>
      <c r="B13" s="116">
        <v>1051153</v>
      </c>
      <c r="C13" s="146" t="s">
        <v>181</v>
      </c>
      <c r="D13" s="118" t="s">
        <v>201</v>
      </c>
      <c r="E13" s="144">
        <v>5022</v>
      </c>
      <c r="F13" s="144" t="s">
        <v>158</v>
      </c>
      <c r="G13" s="119">
        <v>45012</v>
      </c>
      <c r="H13" s="120">
        <v>45731</v>
      </c>
      <c r="I13" s="140">
        <v>0.3</v>
      </c>
      <c r="J13" s="115" t="s">
        <v>203</v>
      </c>
      <c r="K13" s="115" t="s">
        <v>203</v>
      </c>
      <c r="L13" s="172" t="s">
        <v>202</v>
      </c>
    </row>
    <row r="14" spans="1:12" x14ac:dyDescent="0.3">
      <c r="A14" s="115" t="s">
        <v>49</v>
      </c>
      <c r="B14" s="116">
        <v>1051153</v>
      </c>
      <c r="C14" s="146" t="s">
        <v>289</v>
      </c>
      <c r="D14" s="118" t="s">
        <v>201</v>
      </c>
      <c r="E14" s="144">
        <v>5656</v>
      </c>
      <c r="F14" s="144" t="s">
        <v>158</v>
      </c>
      <c r="G14" s="119">
        <v>45313</v>
      </c>
      <c r="H14" s="120">
        <v>45687</v>
      </c>
      <c r="I14" s="140">
        <v>0.7</v>
      </c>
      <c r="J14" s="115" t="s">
        <v>203</v>
      </c>
      <c r="K14" s="115" t="s">
        <v>203</v>
      </c>
      <c r="L14" s="172"/>
    </row>
    <row r="15" spans="1:12" x14ac:dyDescent="0.3">
      <c r="A15" s="115" t="s">
        <v>49</v>
      </c>
      <c r="B15" s="116">
        <v>1051153</v>
      </c>
      <c r="C15" s="146" t="s">
        <v>299</v>
      </c>
      <c r="D15" s="118" t="s">
        <v>201</v>
      </c>
      <c r="E15" s="144">
        <v>10229.76</v>
      </c>
      <c r="F15" s="144" t="s">
        <v>158</v>
      </c>
      <c r="G15" s="119">
        <v>45385</v>
      </c>
      <c r="H15" s="120">
        <v>45687</v>
      </c>
      <c r="I15" s="140">
        <v>1</v>
      </c>
      <c r="J15" s="115" t="s">
        <v>203</v>
      </c>
      <c r="K15" s="115" t="s">
        <v>203</v>
      </c>
      <c r="L15" s="172" t="s">
        <v>202</v>
      </c>
    </row>
    <row r="16" spans="1:12" x14ac:dyDescent="0.3">
      <c r="A16" s="115" t="s">
        <v>232</v>
      </c>
      <c r="B16" s="116">
        <v>1117627</v>
      </c>
      <c r="C16" s="117" t="s">
        <v>336</v>
      </c>
      <c r="D16" s="118"/>
      <c r="E16" s="144">
        <v>10148</v>
      </c>
      <c r="F16" s="144" t="s">
        <v>158</v>
      </c>
      <c r="G16" s="119">
        <v>45595</v>
      </c>
      <c r="H16" s="120">
        <v>45690</v>
      </c>
      <c r="I16" s="140">
        <v>1</v>
      </c>
      <c r="J16" s="115" t="s">
        <v>203</v>
      </c>
      <c r="K16" s="115" t="s">
        <v>203</v>
      </c>
      <c r="L16" s="172" t="s">
        <v>202</v>
      </c>
    </row>
    <row r="17" spans="1:12" x14ac:dyDescent="0.3">
      <c r="A17" s="115" t="s">
        <v>235</v>
      </c>
      <c r="B17" s="116">
        <v>1146449</v>
      </c>
      <c r="C17" s="117" t="s">
        <v>236</v>
      </c>
      <c r="D17" s="118" t="s">
        <v>201</v>
      </c>
      <c r="E17" s="144">
        <v>4692</v>
      </c>
      <c r="F17" s="144" t="s">
        <v>158</v>
      </c>
      <c r="G17" s="119">
        <v>45141</v>
      </c>
      <c r="H17" s="120">
        <v>45687</v>
      </c>
      <c r="I17" s="140">
        <v>1</v>
      </c>
      <c r="J17" s="140" t="s">
        <v>203</v>
      </c>
      <c r="K17" s="140" t="s">
        <v>203</v>
      </c>
      <c r="L17" s="172" t="s">
        <v>202</v>
      </c>
    </row>
    <row r="18" spans="1:12" x14ac:dyDescent="0.3">
      <c r="A18" s="115" t="s">
        <v>235</v>
      </c>
      <c r="B18" s="116">
        <v>1146449</v>
      </c>
      <c r="C18" s="117" t="s">
        <v>300</v>
      </c>
      <c r="D18" s="118" t="s">
        <v>201</v>
      </c>
      <c r="E18" s="144">
        <v>7243.45</v>
      </c>
      <c r="F18" s="144" t="s">
        <v>158</v>
      </c>
      <c r="G18" s="119">
        <v>45392</v>
      </c>
      <c r="H18" s="120">
        <v>45687</v>
      </c>
      <c r="I18" s="140">
        <v>1</v>
      </c>
      <c r="J18" s="140" t="s">
        <v>203</v>
      </c>
      <c r="K18" s="140" t="s">
        <v>203</v>
      </c>
      <c r="L18" s="172" t="s">
        <v>202</v>
      </c>
    </row>
    <row r="19" spans="1:12" x14ac:dyDescent="0.3">
      <c r="A19" s="115" t="s">
        <v>168</v>
      </c>
      <c r="B19" s="116">
        <v>1182162</v>
      </c>
      <c r="C19" s="117" t="s">
        <v>169</v>
      </c>
      <c r="D19" s="118" t="s">
        <v>201</v>
      </c>
      <c r="E19" s="144">
        <v>1884</v>
      </c>
      <c r="F19" s="144" t="s">
        <v>158</v>
      </c>
      <c r="G19" s="119">
        <v>44938</v>
      </c>
      <c r="H19" s="120">
        <v>45687</v>
      </c>
      <c r="I19" s="140">
        <v>0.3</v>
      </c>
      <c r="J19" s="140" t="s">
        <v>203</v>
      </c>
      <c r="K19" s="140" t="s">
        <v>203</v>
      </c>
      <c r="L19" s="172" t="s">
        <v>202</v>
      </c>
    </row>
    <row r="20" spans="1:12" x14ac:dyDescent="0.3">
      <c r="A20" s="115" t="s">
        <v>301</v>
      </c>
      <c r="B20" s="131">
        <v>1192622</v>
      </c>
      <c r="C20" s="117" t="s">
        <v>302</v>
      </c>
      <c r="D20" s="118" t="s">
        <v>201</v>
      </c>
      <c r="E20" s="144">
        <v>8615</v>
      </c>
      <c r="F20" s="144" t="s">
        <v>158</v>
      </c>
      <c r="G20" s="119">
        <v>45386</v>
      </c>
      <c r="H20" s="120">
        <v>45687</v>
      </c>
      <c r="I20" s="188">
        <v>1</v>
      </c>
      <c r="J20" s="189" t="s">
        <v>203</v>
      </c>
      <c r="K20" s="189" t="s">
        <v>203</v>
      </c>
      <c r="L20" s="172" t="s">
        <v>202</v>
      </c>
    </row>
    <row r="22" spans="1:12" x14ac:dyDescent="0.3">
      <c r="A22" s="192" t="s">
        <v>369</v>
      </c>
    </row>
    <row r="23" spans="1:12" ht="36" x14ac:dyDescent="0.3">
      <c r="A23" s="57" t="s">
        <v>0</v>
      </c>
      <c r="B23" s="57" t="s">
        <v>1</v>
      </c>
      <c r="C23" s="57" t="s">
        <v>2</v>
      </c>
      <c r="D23" s="92" t="s">
        <v>121</v>
      </c>
      <c r="E23" s="58" t="s">
        <v>3</v>
      </c>
      <c r="F23" s="58"/>
      <c r="G23" s="59" t="s">
        <v>87</v>
      </c>
      <c r="H23" s="94" t="s">
        <v>4</v>
      </c>
      <c r="I23" s="122" t="s">
        <v>97</v>
      </c>
      <c r="J23" s="122"/>
      <c r="K23" s="122" t="s">
        <v>190</v>
      </c>
    </row>
    <row r="24" spans="1:12" x14ac:dyDescent="0.3">
      <c r="A24" s="130" t="s">
        <v>127</v>
      </c>
      <c r="B24" s="131">
        <v>1040932</v>
      </c>
      <c r="C24" s="117" t="s">
        <v>214</v>
      </c>
      <c r="D24" s="118" t="s">
        <v>201</v>
      </c>
      <c r="E24" s="144">
        <v>12730.65</v>
      </c>
      <c r="F24" s="144"/>
      <c r="G24" s="119">
        <v>45056</v>
      </c>
      <c r="H24" s="120">
        <v>45687</v>
      </c>
      <c r="I24" s="140">
        <v>0.7</v>
      </c>
      <c r="J24" s="140" t="s">
        <v>203</v>
      </c>
      <c r="K24" s="115" t="s">
        <v>203</v>
      </c>
      <c r="L24" s="172" t="s">
        <v>370</v>
      </c>
    </row>
    <row r="25" spans="1:12" x14ac:dyDescent="0.3">
      <c r="A25" s="130" t="s">
        <v>329</v>
      </c>
      <c r="B25" s="131">
        <v>1041571</v>
      </c>
      <c r="C25" s="117" t="s">
        <v>347</v>
      </c>
      <c r="D25" s="118"/>
      <c r="E25" s="144">
        <v>10724</v>
      </c>
      <c r="F25" s="144" t="s">
        <v>158</v>
      </c>
      <c r="G25" s="119">
        <v>45677</v>
      </c>
      <c r="H25" s="120">
        <v>45743</v>
      </c>
      <c r="I25" s="140">
        <v>0.3</v>
      </c>
      <c r="J25" s="140" t="s">
        <v>368</v>
      </c>
      <c r="K25" s="115" t="s">
        <v>194</v>
      </c>
      <c r="L25" s="172" t="s">
        <v>370</v>
      </c>
    </row>
    <row r="26" spans="1:12" x14ac:dyDescent="0.3">
      <c r="A26" s="115" t="s">
        <v>42</v>
      </c>
      <c r="B26" s="116">
        <v>1043336</v>
      </c>
      <c r="C26" s="117" t="s">
        <v>363</v>
      </c>
      <c r="D26" s="118" t="s">
        <v>201</v>
      </c>
      <c r="E26" s="144">
        <v>4060</v>
      </c>
      <c r="F26" s="144"/>
      <c r="G26" s="119">
        <v>45744</v>
      </c>
      <c r="H26" s="120">
        <v>45744</v>
      </c>
      <c r="I26" s="169">
        <v>0.7</v>
      </c>
      <c r="J26" s="169" t="s">
        <v>203</v>
      </c>
      <c r="K26" s="115" t="s">
        <v>203</v>
      </c>
      <c r="L26" s="172" t="s">
        <v>202</v>
      </c>
    </row>
    <row r="27" spans="1:12" x14ac:dyDescent="0.3">
      <c r="A27" s="115" t="s">
        <v>252</v>
      </c>
      <c r="B27" s="116">
        <v>1044284</v>
      </c>
      <c r="C27" s="117" t="s">
        <v>308</v>
      </c>
      <c r="D27" s="118" t="s">
        <v>201</v>
      </c>
      <c r="E27" s="144">
        <v>29600</v>
      </c>
      <c r="F27" s="144" t="s">
        <v>158</v>
      </c>
      <c r="G27" s="119">
        <v>45453</v>
      </c>
      <c r="H27" s="120">
        <v>45688</v>
      </c>
      <c r="I27" s="140">
        <v>1</v>
      </c>
      <c r="J27" s="140" t="s">
        <v>203</v>
      </c>
      <c r="K27" s="115" t="s">
        <v>203</v>
      </c>
      <c r="L27" s="172" t="s">
        <v>370</v>
      </c>
    </row>
    <row r="28" spans="1:12" x14ac:dyDescent="0.3">
      <c r="A28" s="115" t="s">
        <v>49</v>
      </c>
      <c r="B28" s="116">
        <v>1051153</v>
      </c>
      <c r="C28" s="146" t="s">
        <v>185</v>
      </c>
      <c r="D28" s="118" t="s">
        <v>201</v>
      </c>
      <c r="E28" s="144">
        <v>1608</v>
      </c>
      <c r="F28" s="144" t="s">
        <v>158</v>
      </c>
      <c r="G28" s="119">
        <v>45016</v>
      </c>
      <c r="H28" s="120">
        <v>45741</v>
      </c>
      <c r="I28" s="140">
        <v>0.3</v>
      </c>
      <c r="J28" s="140" t="s">
        <v>203</v>
      </c>
      <c r="K28" s="115" t="s">
        <v>203</v>
      </c>
      <c r="L28" s="172" t="s">
        <v>202</v>
      </c>
    </row>
    <row r="29" spans="1:12" x14ac:dyDescent="0.3">
      <c r="A29" s="115" t="s">
        <v>49</v>
      </c>
      <c r="B29" s="116">
        <v>1051153</v>
      </c>
      <c r="C29" s="146" t="s">
        <v>289</v>
      </c>
      <c r="D29" s="118" t="s">
        <v>201</v>
      </c>
      <c r="E29" s="144">
        <v>5656</v>
      </c>
      <c r="F29" s="144" t="s">
        <v>158</v>
      </c>
      <c r="G29" s="119">
        <v>45313</v>
      </c>
      <c r="H29" s="120">
        <v>45687</v>
      </c>
      <c r="I29" s="140">
        <v>0.7</v>
      </c>
      <c r="J29" s="140" t="s">
        <v>203</v>
      </c>
      <c r="K29" s="115" t="s">
        <v>203</v>
      </c>
      <c r="L29" s="172" t="s">
        <v>370</v>
      </c>
    </row>
    <row r="30" spans="1:12" x14ac:dyDescent="0.3">
      <c r="A30" s="192" t="s">
        <v>372</v>
      </c>
    </row>
    <row r="31" spans="1:12" ht="36" x14ac:dyDescent="0.3">
      <c r="A31" s="57" t="s">
        <v>0</v>
      </c>
      <c r="B31" s="57" t="s">
        <v>1</v>
      </c>
      <c r="C31" s="57" t="s">
        <v>2</v>
      </c>
      <c r="D31" s="92" t="s">
        <v>121</v>
      </c>
      <c r="E31" s="58" t="s">
        <v>3</v>
      </c>
      <c r="F31" s="58"/>
      <c r="G31" s="59" t="s">
        <v>87</v>
      </c>
      <c r="H31" s="94" t="s">
        <v>4</v>
      </c>
      <c r="I31" s="122" t="s">
        <v>97</v>
      </c>
      <c r="J31" s="122"/>
      <c r="K31" s="122" t="s">
        <v>190</v>
      </c>
    </row>
    <row r="32" spans="1:12" x14ac:dyDescent="0.3">
      <c r="A32" s="130" t="s">
        <v>128</v>
      </c>
      <c r="B32" s="131">
        <v>1041050</v>
      </c>
      <c r="C32" s="117" t="s">
        <v>188</v>
      </c>
      <c r="D32" s="118" t="s">
        <v>201</v>
      </c>
      <c r="E32" s="144">
        <v>1176</v>
      </c>
      <c r="F32" s="144"/>
      <c r="G32" s="119">
        <v>45020</v>
      </c>
      <c r="H32" s="120">
        <v>45762</v>
      </c>
      <c r="I32" s="140">
        <v>0.3</v>
      </c>
      <c r="J32" s="140" t="s">
        <v>203</v>
      </c>
      <c r="K32" s="140" t="s">
        <v>203</v>
      </c>
      <c r="L32" s="172" t="s">
        <v>202</v>
      </c>
    </row>
    <row r="33" spans="1:14" x14ac:dyDescent="0.3">
      <c r="A33" s="115" t="s">
        <v>49</v>
      </c>
      <c r="B33" s="116">
        <v>1051153</v>
      </c>
      <c r="C33" s="146" t="s">
        <v>162</v>
      </c>
      <c r="D33" s="118" t="s">
        <v>201</v>
      </c>
      <c r="E33" s="144">
        <v>15750</v>
      </c>
      <c r="F33" s="144" t="s">
        <v>158</v>
      </c>
      <c r="G33" s="119">
        <v>44928</v>
      </c>
      <c r="H33" s="120">
        <v>45750</v>
      </c>
      <c r="I33" s="140">
        <v>0.3</v>
      </c>
      <c r="J33" s="115" t="s">
        <v>203</v>
      </c>
      <c r="K33" s="115" t="s">
        <v>203</v>
      </c>
      <c r="L33" s="172" t="s">
        <v>202</v>
      </c>
    </row>
    <row r="34" spans="1:14" x14ac:dyDescent="0.3">
      <c r="A34" s="115" t="s">
        <v>49</v>
      </c>
      <c r="B34" s="116">
        <v>1051153</v>
      </c>
      <c r="C34" s="146" t="s">
        <v>163</v>
      </c>
      <c r="D34" s="118" t="s">
        <v>201</v>
      </c>
      <c r="E34" s="144">
        <v>18450</v>
      </c>
      <c r="F34" s="144" t="s">
        <v>158</v>
      </c>
      <c r="G34" s="119">
        <v>44928</v>
      </c>
      <c r="H34" s="120">
        <v>45750</v>
      </c>
      <c r="I34" s="140">
        <v>0.3</v>
      </c>
      <c r="J34" s="115" t="s">
        <v>203</v>
      </c>
      <c r="K34" s="115" t="s">
        <v>203</v>
      </c>
      <c r="L34" s="172" t="s">
        <v>202</v>
      </c>
    </row>
    <row r="35" spans="1:14" x14ac:dyDescent="0.3">
      <c r="A35" s="6" t="s">
        <v>70</v>
      </c>
      <c r="B35" s="20">
        <v>1128511</v>
      </c>
      <c r="C35" s="83" t="s">
        <v>125</v>
      </c>
      <c r="D35" s="93" t="s">
        <v>201</v>
      </c>
      <c r="E35" s="22">
        <v>4949.45</v>
      </c>
      <c r="F35" s="22"/>
      <c r="G35" s="24">
        <v>44417</v>
      </c>
      <c r="H35" s="23">
        <v>45748</v>
      </c>
      <c r="I35" s="46">
        <v>0.3</v>
      </c>
      <c r="J35" s="46" t="s">
        <v>371</v>
      </c>
      <c r="K35" s="6" t="s">
        <v>192</v>
      </c>
    </row>
    <row r="36" spans="1:14" x14ac:dyDescent="0.3">
      <c r="A36" s="192" t="s">
        <v>374</v>
      </c>
    </row>
    <row r="37" spans="1:14" ht="36" x14ac:dyDescent="0.3">
      <c r="A37" s="57" t="s">
        <v>0</v>
      </c>
      <c r="B37" s="57" t="s">
        <v>1</v>
      </c>
      <c r="C37" s="57" t="s">
        <v>2</v>
      </c>
      <c r="D37" s="92" t="s">
        <v>121</v>
      </c>
      <c r="E37" s="58" t="s">
        <v>3</v>
      </c>
      <c r="F37" s="58"/>
      <c r="G37" s="59" t="s">
        <v>87</v>
      </c>
      <c r="H37" s="94" t="s">
        <v>4</v>
      </c>
      <c r="I37" s="122" t="s">
        <v>97</v>
      </c>
      <c r="J37" s="122"/>
      <c r="K37" s="122" t="s">
        <v>190</v>
      </c>
    </row>
    <row r="38" spans="1:14" x14ac:dyDescent="0.3">
      <c r="A38" s="115" t="s">
        <v>175</v>
      </c>
      <c r="B38" s="131">
        <v>1011647</v>
      </c>
      <c r="C38" s="117" t="s">
        <v>330</v>
      </c>
      <c r="D38" s="118"/>
      <c r="E38" s="144">
        <v>3637.29</v>
      </c>
      <c r="F38" s="144"/>
      <c r="G38" s="119">
        <v>45567</v>
      </c>
      <c r="H38" s="120">
        <v>45777</v>
      </c>
      <c r="I38" s="140">
        <v>1</v>
      </c>
      <c r="J38" s="140" t="s">
        <v>307</v>
      </c>
      <c r="K38" s="140" t="s">
        <v>381</v>
      </c>
      <c r="L38" s="172" t="s">
        <v>202</v>
      </c>
    </row>
    <row r="39" spans="1:14" x14ac:dyDescent="0.3">
      <c r="A39" s="115" t="s">
        <v>42</v>
      </c>
      <c r="B39" s="116">
        <v>1043336</v>
      </c>
      <c r="C39" s="117" t="s">
        <v>215</v>
      </c>
      <c r="D39" s="118" t="s">
        <v>201</v>
      </c>
      <c r="E39" s="144">
        <v>5430.78</v>
      </c>
      <c r="F39" s="144" t="s">
        <v>158</v>
      </c>
      <c r="G39" s="119">
        <v>45051</v>
      </c>
      <c r="H39" s="120">
        <v>45771</v>
      </c>
      <c r="I39" s="169">
        <v>0.3</v>
      </c>
      <c r="J39" s="169" t="s">
        <v>203</v>
      </c>
      <c r="K39" s="115" t="s">
        <v>203</v>
      </c>
      <c r="L39" s="172" t="s">
        <v>202</v>
      </c>
    </row>
    <row r="40" spans="1:14" x14ac:dyDescent="0.3">
      <c r="A40" s="115" t="s">
        <v>70</v>
      </c>
      <c r="B40" s="116">
        <v>1128511</v>
      </c>
      <c r="C40" s="117" t="s">
        <v>125</v>
      </c>
      <c r="D40" s="118" t="s">
        <v>201</v>
      </c>
      <c r="E40" s="144">
        <v>4949.45</v>
      </c>
      <c r="F40" s="144"/>
      <c r="G40" s="119">
        <v>44417</v>
      </c>
      <c r="H40" s="120">
        <v>45748</v>
      </c>
      <c r="I40" s="140">
        <v>0.3</v>
      </c>
      <c r="J40" s="140" t="s">
        <v>371</v>
      </c>
      <c r="K40" s="115" t="s">
        <v>192</v>
      </c>
      <c r="L40" s="172" t="s">
        <v>370</v>
      </c>
    </row>
    <row r="41" spans="1:14" x14ac:dyDescent="0.3">
      <c r="A41" s="130" t="s">
        <v>338</v>
      </c>
      <c r="B41" s="131">
        <v>1186841</v>
      </c>
      <c r="C41" s="117" t="s">
        <v>337</v>
      </c>
      <c r="D41" s="118"/>
      <c r="E41" s="144">
        <v>2585.86</v>
      </c>
      <c r="F41" s="144"/>
      <c r="G41" s="119">
        <v>45583</v>
      </c>
      <c r="H41" s="120">
        <v>45777</v>
      </c>
      <c r="I41" s="140">
        <v>0.7</v>
      </c>
      <c r="J41" s="140" t="s">
        <v>371</v>
      </c>
      <c r="K41" s="140" t="s">
        <v>192</v>
      </c>
      <c r="L41" s="172" t="s">
        <v>202</v>
      </c>
    </row>
    <row r="42" spans="1:14" x14ac:dyDescent="0.3">
      <c r="A42" s="130" t="s">
        <v>331</v>
      </c>
      <c r="B42" s="131">
        <v>1189081</v>
      </c>
      <c r="C42" s="117" t="s">
        <v>312</v>
      </c>
      <c r="D42" s="118" t="s">
        <v>201</v>
      </c>
      <c r="E42" s="144">
        <v>7630</v>
      </c>
      <c r="F42" s="144"/>
      <c r="G42" s="119">
        <v>45506</v>
      </c>
      <c r="H42" s="120">
        <v>45768</v>
      </c>
      <c r="I42" s="140">
        <v>0.7</v>
      </c>
      <c r="J42" s="140" t="s">
        <v>371</v>
      </c>
      <c r="K42" s="140" t="s">
        <v>192</v>
      </c>
      <c r="L42" s="172" t="s">
        <v>370</v>
      </c>
    </row>
    <row r="43" spans="1:14" x14ac:dyDescent="0.3">
      <c r="A43" s="192" t="s">
        <v>374</v>
      </c>
    </row>
    <row r="44" spans="1:14" ht="36" x14ac:dyDescent="0.3">
      <c r="A44" s="57" t="s">
        <v>0</v>
      </c>
      <c r="B44" s="57" t="s">
        <v>1</v>
      </c>
      <c r="C44" s="57" t="s">
        <v>2</v>
      </c>
      <c r="D44" s="92" t="s">
        <v>121</v>
      </c>
      <c r="E44" s="58" t="s">
        <v>3</v>
      </c>
      <c r="F44" s="58"/>
      <c r="G44" s="59" t="s">
        <v>87</v>
      </c>
      <c r="H44" s="94" t="s">
        <v>4</v>
      </c>
      <c r="I44" s="122" t="s">
        <v>97</v>
      </c>
      <c r="J44" s="122"/>
      <c r="K44" s="122" t="s">
        <v>190</v>
      </c>
    </row>
    <row r="45" spans="1:14" x14ac:dyDescent="0.3">
      <c r="A45" s="115" t="s">
        <v>175</v>
      </c>
      <c r="B45" s="131">
        <v>1011647</v>
      </c>
      <c r="C45" s="117" t="s">
        <v>330</v>
      </c>
      <c r="D45" s="118"/>
      <c r="E45" s="144">
        <v>3637.29</v>
      </c>
      <c r="F45" s="144"/>
      <c r="G45" s="119">
        <v>45567</v>
      </c>
      <c r="H45" s="120">
        <v>45777</v>
      </c>
      <c r="I45" s="140">
        <v>1</v>
      </c>
      <c r="J45" s="140" t="s">
        <v>380</v>
      </c>
      <c r="K45" s="140" t="s">
        <v>380</v>
      </c>
      <c r="L45" s="172" t="s">
        <v>202</v>
      </c>
    </row>
    <row r="46" spans="1:14" x14ac:dyDescent="0.3">
      <c r="A46" s="192" t="s">
        <v>390</v>
      </c>
    </row>
    <row r="47" spans="1:14" ht="36" x14ac:dyDescent="0.3">
      <c r="A47" s="57" t="s">
        <v>0</v>
      </c>
      <c r="B47" s="57" t="s">
        <v>1</v>
      </c>
      <c r="C47" s="57" t="s">
        <v>2</v>
      </c>
      <c r="D47" s="92" t="s">
        <v>121</v>
      </c>
      <c r="E47" s="58" t="s">
        <v>3</v>
      </c>
      <c r="F47" s="58"/>
      <c r="G47" s="59" t="s">
        <v>87</v>
      </c>
      <c r="H47" s="94" t="s">
        <v>4</v>
      </c>
      <c r="I47" s="122" t="s">
        <v>97</v>
      </c>
      <c r="J47" s="122"/>
      <c r="K47" s="122" t="s">
        <v>190</v>
      </c>
    </row>
    <row r="48" spans="1:14" x14ac:dyDescent="0.3">
      <c r="A48" s="130" t="s">
        <v>11</v>
      </c>
      <c r="B48" s="131">
        <v>1003964</v>
      </c>
      <c r="C48" s="117" t="s">
        <v>13</v>
      </c>
      <c r="D48" s="118" t="s">
        <v>201</v>
      </c>
      <c r="E48" s="144">
        <v>22170</v>
      </c>
      <c r="F48" s="144"/>
      <c r="G48" s="119">
        <v>43598</v>
      </c>
      <c r="H48" s="120">
        <v>45792</v>
      </c>
      <c r="I48" s="140">
        <v>0.3</v>
      </c>
      <c r="J48" s="140" t="s">
        <v>368</v>
      </c>
      <c r="K48" s="115" t="s">
        <v>194</v>
      </c>
      <c r="L48" s="172" t="s">
        <v>394</v>
      </c>
      <c r="M48" s="195"/>
      <c r="N48" s="195"/>
    </row>
    <row r="49" spans="1:12" x14ac:dyDescent="0.3">
      <c r="A49" s="130" t="s">
        <v>15</v>
      </c>
      <c r="B49" s="131">
        <v>1018499</v>
      </c>
      <c r="C49" s="117" t="s">
        <v>327</v>
      </c>
      <c r="D49" s="118" t="s">
        <v>201</v>
      </c>
      <c r="E49" s="144">
        <v>7000</v>
      </c>
      <c r="F49" s="144"/>
      <c r="G49" s="119">
        <v>45538</v>
      </c>
      <c r="H49" s="120">
        <v>45795</v>
      </c>
      <c r="I49" s="140">
        <v>0.7</v>
      </c>
      <c r="J49" s="140" t="s">
        <v>371</v>
      </c>
      <c r="K49" s="140" t="s">
        <v>192</v>
      </c>
      <c r="L49" s="172" t="s">
        <v>202</v>
      </c>
    </row>
    <row r="50" spans="1:12" x14ac:dyDescent="0.3">
      <c r="A50" s="115" t="s">
        <v>31</v>
      </c>
      <c r="B50" s="116">
        <v>1034349</v>
      </c>
      <c r="C50" s="117" t="s">
        <v>101</v>
      </c>
      <c r="D50" s="118" t="s">
        <v>201</v>
      </c>
      <c r="E50" s="144">
        <v>5442.96</v>
      </c>
      <c r="F50" s="144"/>
      <c r="G50" s="119">
        <v>43475</v>
      </c>
      <c r="H50" s="120">
        <v>45792</v>
      </c>
      <c r="I50" s="140">
        <v>0.3</v>
      </c>
      <c r="J50" s="140" t="s">
        <v>368</v>
      </c>
      <c r="K50" s="115" t="s">
        <v>194</v>
      </c>
      <c r="L50" s="172" t="s">
        <v>393</v>
      </c>
    </row>
    <row r="51" spans="1:12" x14ac:dyDescent="0.3">
      <c r="A51" s="115" t="s">
        <v>42</v>
      </c>
      <c r="B51" s="116">
        <v>1043336</v>
      </c>
      <c r="C51" s="117" t="s">
        <v>373</v>
      </c>
      <c r="D51" s="118" t="s">
        <v>201</v>
      </c>
      <c r="E51" s="144">
        <v>2786</v>
      </c>
      <c r="F51" s="144"/>
      <c r="G51" s="119">
        <v>45771</v>
      </c>
      <c r="H51" s="120">
        <v>45800</v>
      </c>
      <c r="I51" s="169">
        <v>0.7</v>
      </c>
      <c r="J51" s="169" t="s">
        <v>203</v>
      </c>
      <c r="K51" s="115" t="s">
        <v>203</v>
      </c>
      <c r="L51" s="172" t="s">
        <v>202</v>
      </c>
    </row>
    <row r="52" spans="1:12" x14ac:dyDescent="0.3">
      <c r="A52" s="130" t="s">
        <v>52</v>
      </c>
      <c r="B52" s="131">
        <v>1079250</v>
      </c>
      <c r="C52" s="117" t="s">
        <v>53</v>
      </c>
      <c r="D52" s="118" t="s">
        <v>201</v>
      </c>
      <c r="E52" s="144">
        <v>2250</v>
      </c>
      <c r="F52" s="144"/>
      <c r="G52" s="119">
        <v>43229</v>
      </c>
      <c r="H52" s="119">
        <v>45792</v>
      </c>
      <c r="I52" s="140">
        <v>0.3</v>
      </c>
      <c r="J52" s="115" t="s">
        <v>368</v>
      </c>
      <c r="K52" s="115" t="s">
        <v>194</v>
      </c>
      <c r="L52" s="172" t="s">
        <v>393</v>
      </c>
    </row>
    <row r="53" spans="1:12" ht="20.399999999999999" x14ac:dyDescent="0.3">
      <c r="A53" s="194" t="s">
        <v>52</v>
      </c>
      <c r="B53" s="131">
        <v>1079250</v>
      </c>
      <c r="C53" s="117" t="s">
        <v>100</v>
      </c>
      <c r="D53" s="118" t="s">
        <v>201</v>
      </c>
      <c r="E53" s="144">
        <v>168698.4</v>
      </c>
      <c r="F53" s="144"/>
      <c r="G53" s="119" t="s">
        <v>98</v>
      </c>
      <c r="H53" s="119">
        <v>45792</v>
      </c>
      <c r="I53" s="140">
        <v>0.3</v>
      </c>
      <c r="J53" s="140" t="s">
        <v>368</v>
      </c>
      <c r="K53" s="115" t="s">
        <v>194</v>
      </c>
      <c r="L53" s="172" t="s">
        <v>393</v>
      </c>
    </row>
    <row r="54" spans="1:12" x14ac:dyDescent="0.3">
      <c r="A54" s="130" t="s">
        <v>52</v>
      </c>
      <c r="B54" s="131">
        <v>1079250</v>
      </c>
      <c r="C54" s="117" t="s">
        <v>54</v>
      </c>
      <c r="D54" s="118" t="s">
        <v>201</v>
      </c>
      <c r="E54" s="144">
        <v>3588</v>
      </c>
      <c r="F54" s="144"/>
      <c r="G54" s="119">
        <v>43523</v>
      </c>
      <c r="H54" s="119">
        <v>45792</v>
      </c>
      <c r="I54" s="140">
        <v>0.3</v>
      </c>
      <c r="J54" s="140" t="s">
        <v>368</v>
      </c>
      <c r="K54" s="115" t="s">
        <v>194</v>
      </c>
      <c r="L54" s="172" t="s">
        <v>393</v>
      </c>
    </row>
    <row r="55" spans="1:12" ht="20.399999999999999" x14ac:dyDescent="0.3">
      <c r="A55" s="130" t="s">
        <v>318</v>
      </c>
      <c r="B55" s="131">
        <v>1085471</v>
      </c>
      <c r="C55" s="117" t="s">
        <v>360</v>
      </c>
      <c r="D55" s="118"/>
      <c r="E55" s="144">
        <v>4896</v>
      </c>
      <c r="F55" s="144"/>
      <c r="G55" s="119">
        <v>45721</v>
      </c>
      <c r="H55" s="120">
        <v>45807</v>
      </c>
      <c r="I55" s="140">
        <v>1</v>
      </c>
      <c r="J55" s="140" t="s">
        <v>389</v>
      </c>
      <c r="K55" s="115" t="s">
        <v>388</v>
      </c>
      <c r="L55" s="172" t="s">
        <v>202</v>
      </c>
    </row>
    <row r="57" spans="1:12" x14ac:dyDescent="0.3">
      <c r="A57" s="196">
        <v>45845</v>
      </c>
    </row>
    <row r="58" spans="1:12" ht="36" x14ac:dyDescent="0.3">
      <c r="A58" s="57" t="s">
        <v>0</v>
      </c>
      <c r="B58" s="57" t="s">
        <v>1</v>
      </c>
      <c r="C58" s="57" t="s">
        <v>2</v>
      </c>
      <c r="D58" s="92" t="s">
        <v>121</v>
      </c>
      <c r="E58" s="58" t="s">
        <v>3</v>
      </c>
      <c r="F58" s="58"/>
      <c r="G58" s="59" t="s">
        <v>87</v>
      </c>
      <c r="H58" s="94" t="s">
        <v>4</v>
      </c>
      <c r="I58" s="122" t="s">
        <v>97</v>
      </c>
      <c r="J58" s="122"/>
      <c r="K58" s="122" t="s">
        <v>190</v>
      </c>
    </row>
    <row r="59" spans="1:12" x14ac:dyDescent="0.3">
      <c r="A59" s="130" t="s">
        <v>30</v>
      </c>
      <c r="B59" s="131">
        <v>1030096</v>
      </c>
      <c r="C59" s="117" t="s">
        <v>193</v>
      </c>
      <c r="D59" s="118" t="s">
        <v>201</v>
      </c>
      <c r="E59" s="144">
        <v>5390.4</v>
      </c>
      <c r="F59" s="144"/>
      <c r="G59" s="119">
        <v>43558</v>
      </c>
      <c r="H59" s="120">
        <v>45823</v>
      </c>
      <c r="I59" s="140">
        <v>0.3</v>
      </c>
      <c r="J59" s="140" t="s">
        <v>368</v>
      </c>
      <c r="K59" s="115" t="s">
        <v>194</v>
      </c>
      <c r="L59" s="172" t="s">
        <v>393</v>
      </c>
    </row>
    <row r="60" spans="1:12" x14ac:dyDescent="0.3">
      <c r="A60" s="115" t="s">
        <v>49</v>
      </c>
      <c r="B60" s="116">
        <v>1051153</v>
      </c>
      <c r="C60" s="146" t="s">
        <v>289</v>
      </c>
      <c r="D60" s="118" t="s">
        <v>201</v>
      </c>
      <c r="E60" s="144">
        <v>5656</v>
      </c>
      <c r="F60" s="144" t="s">
        <v>158</v>
      </c>
      <c r="G60" s="119">
        <v>45313</v>
      </c>
      <c r="H60" s="120">
        <v>45838</v>
      </c>
      <c r="I60" s="140">
        <v>0.7</v>
      </c>
      <c r="J60" s="140" t="s">
        <v>203</v>
      </c>
      <c r="K60" s="115" t="s">
        <v>203</v>
      </c>
      <c r="L60" s="172" t="s">
        <v>202</v>
      </c>
    </row>
    <row r="61" spans="1:12" ht="20.399999999999999" x14ac:dyDescent="0.3">
      <c r="A61" s="115" t="s">
        <v>63</v>
      </c>
      <c r="B61" s="117">
        <v>1108720</v>
      </c>
      <c r="C61" s="117" t="s">
        <v>297</v>
      </c>
      <c r="D61" s="118" t="s">
        <v>201</v>
      </c>
      <c r="E61" s="144">
        <v>522</v>
      </c>
      <c r="F61" s="197" t="s">
        <v>160</v>
      </c>
      <c r="G61" s="119">
        <v>45363</v>
      </c>
      <c r="H61" s="120">
        <v>45823</v>
      </c>
      <c r="I61" s="140">
        <v>0.3</v>
      </c>
      <c r="J61" s="140" t="s">
        <v>368</v>
      </c>
      <c r="K61" s="115" t="s">
        <v>194</v>
      </c>
      <c r="L61" s="172" t="s">
        <v>393</v>
      </c>
    </row>
    <row r="62" spans="1:12" ht="30.6" x14ac:dyDescent="0.3">
      <c r="A62" s="115" t="s">
        <v>284</v>
      </c>
      <c r="B62" s="131">
        <v>1111363</v>
      </c>
      <c r="C62" s="117" t="s">
        <v>58</v>
      </c>
      <c r="D62" s="118" t="s">
        <v>201</v>
      </c>
      <c r="E62" s="144">
        <v>1444.17</v>
      </c>
      <c r="F62" s="144"/>
      <c r="G62" s="119">
        <v>43916</v>
      </c>
      <c r="H62" s="119">
        <v>45838</v>
      </c>
      <c r="I62" s="140">
        <v>0.3</v>
      </c>
      <c r="J62" s="140" t="s">
        <v>204</v>
      </c>
      <c r="K62" s="115" t="s">
        <v>204</v>
      </c>
      <c r="L62" s="172" t="s">
        <v>202</v>
      </c>
    </row>
    <row r="63" spans="1:12" x14ac:dyDescent="0.3">
      <c r="A63" s="115" t="s">
        <v>70</v>
      </c>
      <c r="B63" s="116">
        <v>1128511</v>
      </c>
      <c r="C63" s="117" t="s">
        <v>125</v>
      </c>
      <c r="D63" s="118" t="s">
        <v>201</v>
      </c>
      <c r="E63" s="144">
        <v>4949.45</v>
      </c>
      <c r="F63" s="144"/>
      <c r="G63" s="119">
        <v>44417</v>
      </c>
      <c r="H63" s="120">
        <v>45837</v>
      </c>
      <c r="I63" s="140">
        <v>0.3</v>
      </c>
      <c r="J63" s="140" t="s">
        <v>371</v>
      </c>
      <c r="K63" s="115" t="s">
        <v>192</v>
      </c>
      <c r="L63" s="172" t="s">
        <v>202</v>
      </c>
    </row>
    <row r="65" spans="1:12" x14ac:dyDescent="0.3">
      <c r="A65" s="198" t="s">
        <v>409</v>
      </c>
    </row>
    <row r="66" spans="1:12" ht="36" x14ac:dyDescent="0.3">
      <c r="A66" s="57" t="s">
        <v>0</v>
      </c>
      <c r="B66" s="57" t="s">
        <v>1</v>
      </c>
      <c r="C66" s="57" t="s">
        <v>2</v>
      </c>
      <c r="D66" s="92" t="s">
        <v>121</v>
      </c>
      <c r="E66" s="58" t="s">
        <v>3</v>
      </c>
      <c r="F66" s="58"/>
      <c r="G66" s="59" t="s">
        <v>87</v>
      </c>
      <c r="H66" s="94" t="s">
        <v>4</v>
      </c>
      <c r="I66" s="122" t="s">
        <v>97</v>
      </c>
      <c r="J66" s="122"/>
      <c r="K66" s="122" t="s">
        <v>190</v>
      </c>
    </row>
    <row r="67" spans="1:12" x14ac:dyDescent="0.3">
      <c r="A67" s="90" t="s">
        <v>15</v>
      </c>
      <c r="B67" s="32">
        <v>1018499</v>
      </c>
      <c r="C67" s="83" t="s">
        <v>328</v>
      </c>
      <c r="D67" s="93" t="s">
        <v>201</v>
      </c>
      <c r="E67" s="22">
        <v>3709.44</v>
      </c>
      <c r="F67" s="22"/>
      <c r="G67" s="24">
        <v>45546</v>
      </c>
      <c r="H67" s="23">
        <v>45868</v>
      </c>
      <c r="I67" s="46">
        <v>0.7</v>
      </c>
      <c r="J67" s="46" t="s">
        <v>371</v>
      </c>
      <c r="K67" s="46" t="s">
        <v>192</v>
      </c>
    </row>
    <row r="68" spans="1:12" ht="20.399999999999999" x14ac:dyDescent="0.3">
      <c r="A68" s="130" t="s">
        <v>303</v>
      </c>
      <c r="B68" s="131">
        <v>1018721</v>
      </c>
      <c r="C68" s="117" t="s">
        <v>304</v>
      </c>
      <c r="D68" s="118" t="s">
        <v>201</v>
      </c>
      <c r="E68" s="144">
        <v>6254.24</v>
      </c>
      <c r="F68" s="144"/>
      <c r="G68" s="119" t="s">
        <v>310</v>
      </c>
      <c r="H68" s="120">
        <v>45868</v>
      </c>
      <c r="I68" s="140">
        <v>0.3</v>
      </c>
      <c r="J68" s="140" t="s">
        <v>204</v>
      </c>
      <c r="K68" s="115" t="s">
        <v>204</v>
      </c>
      <c r="L68" s="172" t="s">
        <v>202</v>
      </c>
    </row>
    <row r="69" spans="1:12" ht="14.4" customHeight="1" x14ac:dyDescent="0.3">
      <c r="A69" s="6" t="s">
        <v>88</v>
      </c>
      <c r="B69" s="20">
        <v>1038304</v>
      </c>
      <c r="C69" s="83" t="s">
        <v>89</v>
      </c>
      <c r="D69" s="93" t="s">
        <v>201</v>
      </c>
      <c r="E69" s="22">
        <v>5943</v>
      </c>
      <c r="F69" s="22"/>
      <c r="G69" s="24">
        <v>44204</v>
      </c>
      <c r="H69" s="23">
        <v>45868</v>
      </c>
      <c r="I69" s="149"/>
      <c r="J69" s="6" t="s">
        <v>408</v>
      </c>
      <c r="K69" s="6" t="s">
        <v>197</v>
      </c>
    </row>
    <row r="70" spans="1:12" x14ac:dyDescent="0.3">
      <c r="A70" s="115" t="s">
        <v>239</v>
      </c>
      <c r="B70" s="116">
        <v>1041738</v>
      </c>
      <c r="C70" s="117" t="s">
        <v>240</v>
      </c>
      <c r="D70" s="118" t="s">
        <v>201</v>
      </c>
      <c r="E70" s="144">
        <v>2520</v>
      </c>
      <c r="F70" s="144" t="s">
        <v>158</v>
      </c>
      <c r="G70" s="119">
        <v>45156</v>
      </c>
      <c r="H70" s="120">
        <v>45866</v>
      </c>
      <c r="I70" s="140">
        <v>0.3</v>
      </c>
      <c r="J70" s="115" t="s">
        <v>204</v>
      </c>
      <c r="K70" s="115" t="s">
        <v>204</v>
      </c>
      <c r="L70" s="172" t="s">
        <v>202</v>
      </c>
    </row>
    <row r="71" spans="1:12" x14ac:dyDescent="0.3">
      <c r="A71" s="115" t="s">
        <v>252</v>
      </c>
      <c r="B71" s="116">
        <v>1044284</v>
      </c>
      <c r="C71" s="117" t="s">
        <v>308</v>
      </c>
      <c r="D71" s="118" t="s">
        <v>201</v>
      </c>
      <c r="E71" s="144">
        <v>29600</v>
      </c>
      <c r="F71" s="144" t="s">
        <v>158</v>
      </c>
      <c r="G71" s="119">
        <v>45453</v>
      </c>
      <c r="H71" s="120">
        <v>45868</v>
      </c>
      <c r="I71" s="140">
        <v>1</v>
      </c>
      <c r="J71" s="115" t="s">
        <v>203</v>
      </c>
      <c r="K71" s="115" t="s">
        <v>203</v>
      </c>
      <c r="L71" s="172" t="s">
        <v>202</v>
      </c>
    </row>
    <row r="72" spans="1:12" x14ac:dyDescent="0.3">
      <c r="A72" s="115" t="s">
        <v>222</v>
      </c>
      <c r="B72" s="116">
        <v>1181039</v>
      </c>
      <c r="C72" s="117" t="s">
        <v>223</v>
      </c>
      <c r="D72" s="118" t="s">
        <v>201</v>
      </c>
      <c r="E72" s="144">
        <v>1197</v>
      </c>
      <c r="F72" s="144" t="s">
        <v>158</v>
      </c>
      <c r="G72" s="119">
        <v>45120</v>
      </c>
      <c r="H72" s="120">
        <v>45854</v>
      </c>
      <c r="I72" s="140">
        <v>0.3</v>
      </c>
      <c r="J72" s="140" t="s">
        <v>203</v>
      </c>
      <c r="K72" s="140" t="s">
        <v>203</v>
      </c>
      <c r="L72" s="172" t="s">
        <v>202</v>
      </c>
    </row>
    <row r="74" spans="1:12" x14ac:dyDescent="0.3">
      <c r="A74" s="199">
        <v>45877</v>
      </c>
    </row>
    <row r="75" spans="1:12" ht="36" x14ac:dyDescent="0.3">
      <c r="A75" s="57" t="s">
        <v>0</v>
      </c>
      <c r="B75" s="57" t="s">
        <v>1</v>
      </c>
      <c r="C75" s="57" t="s">
        <v>2</v>
      </c>
      <c r="D75" s="92" t="s">
        <v>121</v>
      </c>
      <c r="E75" s="58" t="s">
        <v>3</v>
      </c>
      <c r="F75" s="58"/>
      <c r="G75" s="59" t="s">
        <v>87</v>
      </c>
      <c r="H75" s="94" t="s">
        <v>4</v>
      </c>
      <c r="I75" s="122" t="s">
        <v>97</v>
      </c>
      <c r="J75" s="122"/>
      <c r="K75" s="122" t="s">
        <v>190</v>
      </c>
    </row>
    <row r="76" spans="1:12" x14ac:dyDescent="0.3">
      <c r="A76" s="90" t="s">
        <v>15</v>
      </c>
      <c r="B76" s="32">
        <v>1018499</v>
      </c>
      <c r="C76" s="83" t="s">
        <v>328</v>
      </c>
      <c r="D76" s="93" t="s">
        <v>201</v>
      </c>
      <c r="E76" s="22">
        <v>3709.44</v>
      </c>
      <c r="F76" s="22"/>
      <c r="G76" s="24">
        <v>45546</v>
      </c>
      <c r="H76" s="23">
        <v>45868</v>
      </c>
      <c r="I76" s="46">
        <v>0.7</v>
      </c>
      <c r="J76" s="46" t="s">
        <v>371</v>
      </c>
      <c r="K76" s="46" t="s">
        <v>192</v>
      </c>
    </row>
    <row r="77" spans="1:12" ht="14.4" customHeight="1" x14ac:dyDescent="0.3">
      <c r="A77" s="6" t="s">
        <v>88</v>
      </c>
      <c r="B77" s="20">
        <v>1038304</v>
      </c>
      <c r="C77" s="83" t="s">
        <v>89</v>
      </c>
      <c r="D77" s="93" t="s">
        <v>201</v>
      </c>
      <c r="E77" s="22">
        <v>5943</v>
      </c>
      <c r="F77" s="22"/>
      <c r="G77" s="24">
        <v>44204</v>
      </c>
      <c r="H77" s="23">
        <v>45868</v>
      </c>
      <c r="I77" s="149"/>
      <c r="J77" s="6" t="s">
        <v>408</v>
      </c>
      <c r="K77" s="6" t="s">
        <v>197</v>
      </c>
    </row>
    <row r="79" spans="1:12" ht="36" x14ac:dyDescent="0.3">
      <c r="A79" s="57" t="s">
        <v>0</v>
      </c>
      <c r="B79" s="57" t="s">
        <v>1</v>
      </c>
      <c r="C79" s="57" t="s">
        <v>2</v>
      </c>
      <c r="D79" s="92" t="s">
        <v>121</v>
      </c>
      <c r="E79" s="58" t="s">
        <v>3</v>
      </c>
      <c r="F79" s="58"/>
      <c r="G79" s="59" t="s">
        <v>87</v>
      </c>
      <c r="H79" s="94" t="s">
        <v>4</v>
      </c>
      <c r="I79" s="122" t="s">
        <v>97</v>
      </c>
      <c r="J79" s="122" t="s">
        <v>205</v>
      </c>
      <c r="K79" s="122" t="s">
        <v>190</v>
      </c>
    </row>
    <row r="80" spans="1:12" x14ac:dyDescent="0.3">
      <c r="A80" s="90" t="s">
        <v>11</v>
      </c>
      <c r="B80" s="32">
        <v>1003964</v>
      </c>
      <c r="C80" s="83" t="s">
        <v>13</v>
      </c>
      <c r="D80" s="93" t="s">
        <v>201</v>
      </c>
      <c r="E80" s="22">
        <v>51730</v>
      </c>
      <c r="F80" s="22"/>
      <c r="G80" s="24">
        <v>43598</v>
      </c>
      <c r="H80" s="23">
        <v>43981</v>
      </c>
      <c r="I80" s="46">
        <v>0.7</v>
      </c>
      <c r="J80" s="46" t="s">
        <v>368</v>
      </c>
      <c r="K80" s="6" t="s">
        <v>194</v>
      </c>
    </row>
    <row r="81" spans="1:12" x14ac:dyDescent="0.3">
      <c r="A81" s="90" t="s">
        <v>11</v>
      </c>
      <c r="B81" s="32">
        <v>1003964</v>
      </c>
      <c r="C81" s="83" t="s">
        <v>13</v>
      </c>
      <c r="D81" s="93" t="s">
        <v>201</v>
      </c>
      <c r="E81" s="22">
        <v>22170</v>
      </c>
      <c r="F81" s="22"/>
      <c r="G81" s="24">
        <v>43598</v>
      </c>
      <c r="H81" s="23">
        <v>45792</v>
      </c>
      <c r="I81" s="46">
        <v>0.3</v>
      </c>
      <c r="J81" s="46" t="s">
        <v>368</v>
      </c>
      <c r="K81" s="6" t="s">
        <v>194</v>
      </c>
    </row>
    <row r="83" spans="1:12" x14ac:dyDescent="0.3">
      <c r="A83" s="198" t="s">
        <v>413</v>
      </c>
    </row>
    <row r="84" spans="1:12" ht="36" x14ac:dyDescent="0.3">
      <c r="A84" s="57" t="s">
        <v>0</v>
      </c>
      <c r="B84" s="57" t="s">
        <v>1</v>
      </c>
      <c r="C84" s="57" t="s">
        <v>2</v>
      </c>
      <c r="D84" s="92" t="s">
        <v>121</v>
      </c>
      <c r="E84" s="58" t="s">
        <v>3</v>
      </c>
      <c r="F84" s="58"/>
      <c r="G84" s="59" t="s">
        <v>87</v>
      </c>
      <c r="H84" s="94" t="s">
        <v>4</v>
      </c>
      <c r="I84" s="122" t="s">
        <v>97</v>
      </c>
      <c r="J84" s="122" t="s">
        <v>205</v>
      </c>
      <c r="K84" s="122" t="s">
        <v>190</v>
      </c>
    </row>
    <row r="85" spans="1:12" ht="20.399999999999999" x14ac:dyDescent="0.3">
      <c r="A85" s="115" t="s">
        <v>20</v>
      </c>
      <c r="B85" s="117">
        <v>1021615</v>
      </c>
      <c r="C85" s="117" t="s">
        <v>21</v>
      </c>
      <c r="D85" s="118" t="s">
        <v>201</v>
      </c>
      <c r="E85" s="144">
        <v>3483</v>
      </c>
      <c r="F85" s="144"/>
      <c r="G85" s="119">
        <v>43916</v>
      </c>
      <c r="H85" s="120">
        <v>45885</v>
      </c>
      <c r="I85" s="140">
        <v>0.3</v>
      </c>
      <c r="J85" s="140" t="s">
        <v>203</v>
      </c>
      <c r="K85" s="115" t="s">
        <v>203</v>
      </c>
      <c r="L85" s="172" t="s">
        <v>202</v>
      </c>
    </row>
    <row r="86" spans="1:12" x14ac:dyDescent="0.3">
      <c r="A86" s="115" t="s">
        <v>38</v>
      </c>
      <c r="B86" s="116">
        <v>1041775</v>
      </c>
      <c r="C86" s="117" t="s">
        <v>39</v>
      </c>
      <c r="D86" s="118" t="s">
        <v>201</v>
      </c>
      <c r="E86" s="144">
        <v>5058</v>
      </c>
      <c r="F86" s="144"/>
      <c r="G86" s="119">
        <v>43928</v>
      </c>
      <c r="H86" s="120">
        <v>45888</v>
      </c>
      <c r="I86" s="140">
        <v>0.3</v>
      </c>
      <c r="J86" s="140" t="s">
        <v>408</v>
      </c>
      <c r="K86" s="115" t="s">
        <v>197</v>
      </c>
      <c r="L86" s="172" t="s">
        <v>202</v>
      </c>
    </row>
  </sheetData>
  <sortState ref="A181:K202">
    <sortCondition ref="J181:J20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workbookViewId="0">
      <pane xSplit="2" ySplit="3" topLeftCell="K4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ColWidth="9.109375" defaultRowHeight="10.199999999999999" x14ac:dyDescent="0.3"/>
  <cols>
    <col min="1" max="1" width="21.6640625" style="9" customWidth="1"/>
    <col min="2" max="2" width="9.33203125" style="10" bestFit="1" customWidth="1"/>
    <col min="3" max="3" width="9.33203125" style="10" customWidth="1"/>
    <col min="4" max="4" width="19.33203125" style="10" customWidth="1"/>
    <col min="5" max="5" width="13.33203125" style="11" customWidth="1"/>
    <col min="6" max="6" width="13.109375" style="50" customWidth="1"/>
    <col min="7" max="7" width="14.44140625" style="10" customWidth="1"/>
    <col min="8" max="8" width="39.5546875" style="12" hidden="1" customWidth="1"/>
    <col min="9" max="9" width="14.33203125" style="13" hidden="1" customWidth="1"/>
    <col min="10" max="10" width="14" style="12" hidden="1" customWidth="1"/>
    <col min="11" max="11" width="45.33203125" style="45" customWidth="1"/>
    <col min="12" max="12" width="14.33203125" style="12" hidden="1" customWidth="1"/>
    <col min="13" max="14" width="13.109375" style="12" hidden="1" customWidth="1"/>
    <col min="15" max="16" width="13.109375" style="12" customWidth="1"/>
    <col min="17" max="17" width="16.109375" style="12" customWidth="1"/>
    <col min="18" max="20" width="12.88671875" style="12" hidden="1" customWidth="1"/>
    <col min="21" max="21" width="9.109375" style="12" customWidth="1"/>
    <col min="22" max="22" width="12" style="16" customWidth="1"/>
    <col min="23" max="23" width="9.109375" style="16" customWidth="1"/>
    <col min="24" max="24" width="13.6640625" style="16" customWidth="1"/>
    <col min="25" max="25" width="15.33203125" style="12" customWidth="1"/>
    <col min="26" max="28" width="13.109375" style="12" customWidth="1"/>
    <col min="29" max="29" width="15.44140625" style="12" customWidth="1"/>
    <col min="30" max="31" width="14.33203125" style="12" customWidth="1"/>
    <col min="32" max="32" width="12" style="12" customWidth="1"/>
    <col min="33" max="16384" width="9.109375" style="12"/>
  </cols>
  <sheetData>
    <row r="1" spans="1:32" ht="14.4" customHeight="1" x14ac:dyDescent="0.3">
      <c r="R1" s="14">
        <v>44196</v>
      </c>
      <c r="S1" s="14"/>
      <c r="T1" s="15"/>
      <c r="Z1" s="68">
        <v>44926</v>
      </c>
      <c r="AA1" s="14"/>
      <c r="AB1" s="15"/>
      <c r="AC1" s="17"/>
      <c r="AD1" s="17"/>
      <c r="AE1" s="17"/>
    </row>
    <row r="2" spans="1:32" ht="14.4" customHeight="1" x14ac:dyDescent="0.3">
      <c r="R2" s="14"/>
      <c r="S2" s="14"/>
      <c r="T2" s="15"/>
      <c r="Z2" s="14"/>
      <c r="AA2" s="14"/>
      <c r="AB2" s="15"/>
      <c r="AC2" s="18" t="s">
        <v>93</v>
      </c>
      <c r="AD2" s="18" t="s">
        <v>94</v>
      </c>
      <c r="AE2" s="18" t="s">
        <v>96</v>
      </c>
      <c r="AF2" s="12" t="s">
        <v>95</v>
      </c>
    </row>
    <row r="3" spans="1:32" s="66" customFormat="1" ht="90" customHeight="1" x14ac:dyDescent="0.3">
      <c r="A3" s="56" t="s">
        <v>0</v>
      </c>
      <c r="B3" s="57" t="s">
        <v>1</v>
      </c>
      <c r="C3" s="57" t="s">
        <v>122</v>
      </c>
      <c r="D3" s="57" t="s">
        <v>2</v>
      </c>
      <c r="E3" s="58" t="s">
        <v>3</v>
      </c>
      <c r="F3" s="59" t="s">
        <v>87</v>
      </c>
      <c r="G3" s="58" t="s">
        <v>4</v>
      </c>
      <c r="H3" s="57" t="s">
        <v>5</v>
      </c>
      <c r="I3" s="60" t="s">
        <v>6</v>
      </c>
      <c r="J3" s="57" t="s">
        <v>7</v>
      </c>
      <c r="K3" s="57" t="s">
        <v>97</v>
      </c>
      <c r="L3" s="57" t="s">
        <v>8</v>
      </c>
      <c r="M3" s="57" t="s">
        <v>9</v>
      </c>
      <c r="N3" s="57" t="s">
        <v>10</v>
      </c>
      <c r="O3" s="57" t="s">
        <v>81</v>
      </c>
      <c r="P3" s="57" t="s">
        <v>90</v>
      </c>
      <c r="Q3" s="61" t="s">
        <v>114</v>
      </c>
      <c r="R3" s="62" t="s">
        <v>79</v>
      </c>
      <c r="S3" s="62" t="s">
        <v>80</v>
      </c>
      <c r="T3" s="62" t="s">
        <v>91</v>
      </c>
      <c r="U3" s="57" t="s">
        <v>85</v>
      </c>
      <c r="V3" s="63" t="s">
        <v>82</v>
      </c>
      <c r="W3" s="64" t="s">
        <v>83</v>
      </c>
      <c r="X3" s="64" t="s">
        <v>84</v>
      </c>
      <c r="Y3" s="67" t="s">
        <v>86</v>
      </c>
      <c r="Z3" s="62" t="s">
        <v>79</v>
      </c>
      <c r="AA3" s="62" t="s">
        <v>80</v>
      </c>
      <c r="AB3" s="62" t="s">
        <v>91</v>
      </c>
      <c r="AC3" s="65" t="s">
        <v>104</v>
      </c>
      <c r="AD3" s="65" t="s">
        <v>105</v>
      </c>
      <c r="AE3" s="65" t="s">
        <v>106</v>
      </c>
      <c r="AF3" s="65" t="s">
        <v>107</v>
      </c>
    </row>
    <row r="4" spans="1:32" ht="15.6" x14ac:dyDescent="0.3">
      <c r="A4" s="33"/>
      <c r="B4" s="83"/>
      <c r="C4" s="95"/>
      <c r="D4" s="83"/>
      <c r="E4" s="22"/>
      <c r="F4" s="24"/>
      <c r="G4" s="23"/>
      <c r="H4" s="24"/>
      <c r="I4" s="35"/>
      <c r="J4" s="83"/>
      <c r="K4" s="2"/>
      <c r="L4" s="28"/>
      <c r="M4" s="28"/>
      <c r="N4" s="28"/>
      <c r="O4" s="28"/>
      <c r="P4" s="28"/>
      <c r="Q4" s="28"/>
      <c r="R4" s="28"/>
      <c r="S4" s="28"/>
      <c r="T4" s="28"/>
      <c r="U4" s="37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24.75" customHeight="1" x14ac:dyDescent="0.3">
      <c r="A5" s="33"/>
      <c r="B5" s="21"/>
      <c r="C5" s="83"/>
      <c r="D5" s="21"/>
      <c r="E5" s="29">
        <f>SUBTOTAL(9,E4)</f>
        <v>0</v>
      </c>
      <c r="F5" s="51"/>
      <c r="G5" s="23"/>
      <c r="H5" s="24"/>
      <c r="I5" s="35"/>
      <c r="J5" s="21"/>
      <c r="K5" s="70"/>
      <c r="L5" s="30">
        <f>SUBTOTAL(9,L4)</f>
        <v>0</v>
      </c>
      <c r="M5" s="30">
        <f>SUBTOTAL(9,M4)</f>
        <v>0</v>
      </c>
      <c r="N5" s="30">
        <f>SUBTOTAL(9,N4)</f>
        <v>0</v>
      </c>
      <c r="O5" s="30">
        <f>SUBTOTAL(9,O4)</f>
        <v>0</v>
      </c>
      <c r="P5" s="26">
        <f>O5-N5-M5-L5</f>
        <v>0</v>
      </c>
      <c r="Q5" s="36">
        <f>SUBTOTAL(9,Q4)</f>
        <v>0</v>
      </c>
      <c r="R5" s="31">
        <f>SUBTOTAL(9,R4)</f>
        <v>0</v>
      </c>
      <c r="S5" s="31">
        <f>SUBTOTAL(9,S4)</f>
        <v>0</v>
      </c>
      <c r="T5" s="31"/>
      <c r="U5" s="31"/>
      <c r="V5" s="31">
        <f>SUBTOTAL(9,V4)</f>
        <v>0</v>
      </c>
      <c r="W5" s="31">
        <f>SUBTOTAL(9,W4)</f>
        <v>0</v>
      </c>
      <c r="X5" s="31">
        <f>SUBTOTAL(9,X4)</f>
        <v>0</v>
      </c>
      <c r="Y5" s="31">
        <f>SUBTOTAL(9,Y4)</f>
        <v>0</v>
      </c>
      <c r="Z5" s="31">
        <f t="shared" ref="Z5:AF5" si="0">SUBTOTAL(9,Z4)</f>
        <v>0</v>
      </c>
      <c r="AA5" s="31">
        <f t="shared" si="0"/>
        <v>0</v>
      </c>
      <c r="AB5" s="31">
        <f t="shared" si="0"/>
        <v>0</v>
      </c>
      <c r="AC5" s="31">
        <f t="shared" si="0"/>
        <v>0</v>
      </c>
      <c r="AD5" s="31">
        <f t="shared" si="0"/>
        <v>0</v>
      </c>
      <c r="AE5" s="31">
        <f t="shared" si="0"/>
        <v>0</v>
      </c>
      <c r="AF5" s="31">
        <f t="shared" si="0"/>
        <v>0</v>
      </c>
    </row>
    <row r="6" spans="1:32" ht="30.6" customHeight="1" x14ac:dyDescent="0.3">
      <c r="A6" s="33"/>
      <c r="B6" s="83"/>
      <c r="C6" s="95"/>
      <c r="D6" s="83"/>
      <c r="E6" s="22"/>
      <c r="F6" s="24"/>
      <c r="G6" s="23"/>
      <c r="H6" s="24"/>
      <c r="I6" s="35"/>
      <c r="J6" s="83"/>
      <c r="K6" s="7"/>
      <c r="L6" s="28"/>
      <c r="M6" s="28"/>
      <c r="N6" s="28"/>
      <c r="O6" s="28"/>
      <c r="P6" s="28"/>
      <c r="Q6" s="28"/>
      <c r="R6" s="28"/>
      <c r="S6" s="28"/>
      <c r="T6" s="28"/>
      <c r="U6" s="37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24.75" customHeight="1" x14ac:dyDescent="0.3">
      <c r="A7" s="33"/>
      <c r="B7" s="21"/>
      <c r="C7" s="83"/>
      <c r="D7" s="21"/>
      <c r="E7" s="29">
        <f>SUBTOTAL(9,E6)</f>
        <v>0</v>
      </c>
      <c r="F7" s="51"/>
      <c r="G7" s="23"/>
      <c r="H7" s="24"/>
      <c r="I7" s="35"/>
      <c r="J7" s="21"/>
      <c r="K7" s="70"/>
      <c r="L7" s="30">
        <f>SUBTOTAL(9,L6)</f>
        <v>0</v>
      </c>
      <c r="M7" s="30">
        <f>SUBTOTAL(9,M6)</f>
        <v>0</v>
      </c>
      <c r="N7" s="30">
        <f>SUBTOTAL(9,N6)</f>
        <v>0</v>
      </c>
      <c r="O7" s="30">
        <f>SUBTOTAL(9,O6)</f>
        <v>0</v>
      </c>
      <c r="P7" s="26">
        <f>O7-N7-M7-L7</f>
        <v>0</v>
      </c>
      <c r="Q7" s="36">
        <f>SUBTOTAL(9,Q6)</f>
        <v>0</v>
      </c>
      <c r="R7" s="31">
        <f>SUBTOTAL(9,R6)</f>
        <v>0</v>
      </c>
      <c r="S7" s="31">
        <f>SUBTOTAL(9,S6)</f>
        <v>0</v>
      </c>
      <c r="T7" s="31"/>
      <c r="U7" s="31"/>
      <c r="V7" s="31">
        <f>SUBTOTAL(9,V6)</f>
        <v>0</v>
      </c>
      <c r="W7" s="31">
        <f>SUBTOTAL(9,W6)</f>
        <v>0</v>
      </c>
      <c r="X7" s="31">
        <f>SUBTOTAL(9,X6)</f>
        <v>0</v>
      </c>
      <c r="Y7" s="31">
        <f>SUBTOTAL(9,Y6)</f>
        <v>0</v>
      </c>
      <c r="Z7" s="31">
        <f t="shared" ref="Z7:AF7" si="1">SUBTOTAL(9,Z6)</f>
        <v>0</v>
      </c>
      <c r="AA7" s="31">
        <f t="shared" si="1"/>
        <v>0</v>
      </c>
      <c r="AB7" s="31">
        <f t="shared" si="1"/>
        <v>0</v>
      </c>
      <c r="AC7" s="31">
        <f t="shared" si="1"/>
        <v>0</v>
      </c>
      <c r="AD7" s="31">
        <f t="shared" si="1"/>
        <v>0</v>
      </c>
      <c r="AE7" s="31">
        <f t="shared" si="1"/>
        <v>0</v>
      </c>
      <c r="AF7" s="31">
        <f t="shared" si="1"/>
        <v>0</v>
      </c>
    </row>
    <row r="8" spans="1:32" ht="22.95" customHeight="1" x14ac:dyDescent="0.3">
      <c r="E8" s="87"/>
      <c r="F8" s="24"/>
      <c r="G8" s="21"/>
      <c r="H8" s="8"/>
      <c r="I8" s="75"/>
      <c r="J8" s="8"/>
      <c r="K8" s="86" t="s">
        <v>113</v>
      </c>
      <c r="L8" s="55">
        <f t="shared" ref="L8:S8" si="2">L7+L5</f>
        <v>0</v>
      </c>
      <c r="M8" s="55">
        <f t="shared" si="2"/>
        <v>0</v>
      </c>
      <c r="N8" s="55">
        <f t="shared" si="2"/>
        <v>0</v>
      </c>
      <c r="O8" s="55">
        <f t="shared" si="2"/>
        <v>0</v>
      </c>
      <c r="P8" s="55">
        <f t="shared" si="2"/>
        <v>0</v>
      </c>
      <c r="Q8" s="55">
        <f t="shared" si="2"/>
        <v>0</v>
      </c>
      <c r="R8" s="55">
        <f t="shared" si="2"/>
        <v>0</v>
      </c>
      <c r="S8" s="55">
        <f t="shared" si="2"/>
        <v>0</v>
      </c>
      <c r="T8" s="55"/>
      <c r="U8" s="55">
        <f t="shared" ref="U8:AF8" si="3">U7+U5</f>
        <v>0</v>
      </c>
      <c r="V8" s="55">
        <f t="shared" si="3"/>
        <v>0</v>
      </c>
      <c r="W8" s="55">
        <f t="shared" si="3"/>
        <v>0</v>
      </c>
      <c r="X8" s="55">
        <f t="shared" si="3"/>
        <v>0</v>
      </c>
      <c r="Y8" s="55">
        <f t="shared" si="3"/>
        <v>0</v>
      </c>
      <c r="Z8" s="55">
        <f t="shared" si="3"/>
        <v>0</v>
      </c>
      <c r="AA8" s="55">
        <f t="shared" si="3"/>
        <v>0</v>
      </c>
      <c r="AB8" s="55">
        <f t="shared" si="3"/>
        <v>0</v>
      </c>
      <c r="AC8" s="55">
        <f t="shared" si="3"/>
        <v>0</v>
      </c>
      <c r="AD8" s="55">
        <f t="shared" si="3"/>
        <v>0</v>
      </c>
      <c r="AE8" s="55">
        <f t="shared" si="3"/>
        <v>0</v>
      </c>
      <c r="AF8" s="55">
        <f t="shared" si="3"/>
        <v>0</v>
      </c>
    </row>
    <row r="9" spans="1:32" ht="13.8" x14ac:dyDescent="0.3">
      <c r="K9" s="19"/>
      <c r="Q9" s="12" t="s">
        <v>78</v>
      </c>
      <c r="Y9" s="205" t="s">
        <v>78</v>
      </c>
      <c r="Z9" s="205"/>
    </row>
    <row r="10" spans="1:32" ht="14.4" x14ac:dyDescent="0.3">
      <c r="K10" s="3"/>
      <c r="Y10" s="71" t="s">
        <v>79</v>
      </c>
      <c r="Z10" s="72">
        <f>Z8+AB8</f>
        <v>0</v>
      </c>
    </row>
    <row r="11" spans="1:32" ht="14.4" customHeight="1" x14ac:dyDescent="0.3">
      <c r="K11" s="3"/>
      <c r="Q11" s="44"/>
      <c r="R11" s="44"/>
      <c r="S11" s="44"/>
      <c r="T11" s="44"/>
      <c r="U11" s="207"/>
      <c r="V11" s="207"/>
      <c r="W11" s="76"/>
      <c r="Y11" s="71" t="s">
        <v>92</v>
      </c>
      <c r="Z11" s="72">
        <f>AA8-AB8</f>
        <v>0</v>
      </c>
    </row>
    <row r="12" spans="1:32" x14ac:dyDescent="0.3">
      <c r="K12" s="3"/>
      <c r="Q12" s="44"/>
      <c r="R12" s="44"/>
      <c r="S12" s="44"/>
      <c r="T12" s="44"/>
      <c r="U12" s="208"/>
      <c r="V12" s="208"/>
      <c r="W12" s="76"/>
    </row>
    <row r="13" spans="1:32" x14ac:dyDescent="0.3">
      <c r="K13" s="47"/>
    </row>
    <row r="14" spans="1:32" x14ac:dyDescent="0.3">
      <c r="K14" s="1"/>
    </row>
    <row r="15" spans="1:32" x14ac:dyDescent="0.3">
      <c r="K15" s="47"/>
    </row>
    <row r="16" spans="1:32" x14ac:dyDescent="0.3">
      <c r="K16" s="47"/>
    </row>
    <row r="17" spans="11:11" x14ac:dyDescent="0.3">
      <c r="K17" s="47"/>
    </row>
    <row r="18" spans="11:11" x14ac:dyDescent="0.3">
      <c r="K18" s="48"/>
    </row>
    <row r="19" spans="11:11" x14ac:dyDescent="0.3">
      <c r="K19" s="47"/>
    </row>
    <row r="20" spans="11:11" x14ac:dyDescent="0.3">
      <c r="K20" s="47"/>
    </row>
  </sheetData>
  <autoFilter ref="A3:AF3"/>
  <mergeCells count="3">
    <mergeCell ref="Y9:Z9"/>
    <mergeCell ref="U11:V11"/>
    <mergeCell ref="U12:V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:XFD10"/>
    </sheetView>
  </sheetViews>
  <sheetFormatPr defaultColWidth="27" defaultRowHeight="12" x14ac:dyDescent="0.3"/>
  <cols>
    <col min="1" max="1" width="13.33203125" style="103" customWidth="1"/>
    <col min="2" max="2" width="32.33203125" style="103" customWidth="1"/>
    <col min="3" max="3" width="13.6640625" style="106" customWidth="1"/>
    <col min="4" max="4" width="12.44140625" style="103" customWidth="1"/>
    <col min="5" max="5" width="12.88671875" style="103" customWidth="1"/>
    <col min="6" max="6" width="12.6640625" style="103" customWidth="1"/>
    <col min="7" max="8" width="15.5546875" style="108" customWidth="1"/>
    <col min="9" max="9" width="10.44140625" style="103" customWidth="1"/>
    <col min="10" max="11" width="45.5546875" style="103" customWidth="1"/>
    <col min="12" max="16384" width="27" style="103"/>
  </cols>
  <sheetData>
    <row r="1" spans="1:45" ht="24" x14ac:dyDescent="0.3">
      <c r="A1" s="105" t="s">
        <v>108</v>
      </c>
      <c r="B1" s="105" t="s">
        <v>109</v>
      </c>
      <c r="C1" s="105" t="s">
        <v>111</v>
      </c>
      <c r="D1" s="105" t="s">
        <v>110</v>
      </c>
      <c r="E1" s="105" t="s">
        <v>137</v>
      </c>
      <c r="F1" s="105" t="s">
        <v>138</v>
      </c>
      <c r="G1" s="167" t="s">
        <v>139</v>
      </c>
      <c r="H1" s="168" t="s">
        <v>177</v>
      </c>
      <c r="I1" s="105" t="s">
        <v>97</v>
      </c>
    </row>
    <row r="2" spans="1:45" s="128" customFormat="1" ht="13.2" customHeight="1" x14ac:dyDescent="0.3">
      <c r="A2" s="96">
        <v>1016523</v>
      </c>
      <c r="B2" s="102" t="s">
        <v>349</v>
      </c>
      <c r="C2" s="97">
        <v>45616</v>
      </c>
      <c r="D2" s="98">
        <v>25000</v>
      </c>
      <c r="E2" s="99">
        <v>25000</v>
      </c>
      <c r="F2" s="98">
        <f t="shared" ref="F2:F12" si="0">D2-E2</f>
        <v>0</v>
      </c>
      <c r="G2" s="104">
        <v>45687</v>
      </c>
      <c r="H2" s="104">
        <v>45310</v>
      </c>
      <c r="I2" s="100" t="s">
        <v>348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</row>
    <row r="3" spans="1:45" x14ac:dyDescent="0.3">
      <c r="A3" s="96">
        <v>1079000</v>
      </c>
      <c r="B3" s="102" t="s">
        <v>176</v>
      </c>
      <c r="C3" s="101">
        <v>45644</v>
      </c>
      <c r="D3" s="98">
        <v>19500</v>
      </c>
      <c r="E3" s="98">
        <v>19500</v>
      </c>
      <c r="F3" s="98">
        <f t="shared" si="0"/>
        <v>0</v>
      </c>
      <c r="G3" s="104">
        <v>45686</v>
      </c>
      <c r="H3" s="104">
        <v>45704</v>
      </c>
      <c r="I3" s="100" t="s">
        <v>350</v>
      </c>
    </row>
    <row r="4" spans="1:45" ht="12" customHeight="1" x14ac:dyDescent="0.3">
      <c r="A4" s="96">
        <v>1107111</v>
      </c>
      <c r="B4" s="102" t="s">
        <v>261</v>
      </c>
      <c r="C4" s="101">
        <v>45615</v>
      </c>
      <c r="D4" s="98">
        <v>25000</v>
      </c>
      <c r="E4" s="98">
        <v>25000</v>
      </c>
      <c r="F4" s="98">
        <f t="shared" si="0"/>
        <v>0</v>
      </c>
      <c r="G4" s="104">
        <v>45691</v>
      </c>
      <c r="H4" s="104">
        <v>45675</v>
      </c>
      <c r="I4" s="166" t="s">
        <v>348</v>
      </c>
    </row>
    <row r="5" spans="1:45" x14ac:dyDescent="0.3">
      <c r="A5" s="96">
        <v>1189081</v>
      </c>
      <c r="B5" s="102" t="s">
        <v>331</v>
      </c>
      <c r="C5" s="101">
        <v>45737</v>
      </c>
      <c r="D5" s="98">
        <v>3000</v>
      </c>
      <c r="E5" s="98">
        <v>3000</v>
      </c>
      <c r="F5" s="98">
        <f t="shared" si="0"/>
        <v>0</v>
      </c>
      <c r="G5" s="104">
        <v>45803</v>
      </c>
      <c r="H5" s="104">
        <v>45797</v>
      </c>
      <c r="I5" s="100" t="s">
        <v>376</v>
      </c>
    </row>
    <row r="6" spans="1:45" x14ac:dyDescent="0.3">
      <c r="A6" s="96">
        <v>1018464</v>
      </c>
      <c r="B6" s="102" t="s">
        <v>375</v>
      </c>
      <c r="C6" s="101">
        <v>45744</v>
      </c>
      <c r="D6" s="98">
        <v>3000</v>
      </c>
      <c r="E6" s="98">
        <v>3000</v>
      </c>
      <c r="F6" s="98">
        <f t="shared" si="0"/>
        <v>0</v>
      </c>
      <c r="G6" s="104">
        <v>45803</v>
      </c>
      <c r="H6" s="104">
        <v>45804</v>
      </c>
      <c r="I6" s="100" t="s">
        <v>376</v>
      </c>
    </row>
    <row r="7" spans="1:45" x14ac:dyDescent="0.3">
      <c r="A7" s="96">
        <v>1049085</v>
      </c>
      <c r="B7" s="102" t="s">
        <v>377</v>
      </c>
      <c r="C7" s="101">
        <v>45744</v>
      </c>
      <c r="D7" s="98">
        <v>3000</v>
      </c>
      <c r="E7" s="98">
        <v>3000</v>
      </c>
      <c r="F7" s="98">
        <f t="shared" si="0"/>
        <v>0</v>
      </c>
      <c r="G7" s="104">
        <v>45803</v>
      </c>
      <c r="H7" s="104">
        <v>45804</v>
      </c>
      <c r="I7" s="100" t="s">
        <v>376</v>
      </c>
    </row>
    <row r="8" spans="1:45" x14ac:dyDescent="0.3">
      <c r="A8" s="96">
        <v>1085471</v>
      </c>
      <c r="B8" s="102" t="s">
        <v>378</v>
      </c>
      <c r="C8" s="101">
        <v>45769</v>
      </c>
      <c r="D8" s="98">
        <v>7100</v>
      </c>
      <c r="E8" s="98">
        <v>7100</v>
      </c>
      <c r="F8" s="98">
        <f t="shared" si="0"/>
        <v>0</v>
      </c>
      <c r="G8" s="104">
        <v>45793</v>
      </c>
      <c r="H8" s="104">
        <v>45829</v>
      </c>
      <c r="I8" s="100" t="s">
        <v>379</v>
      </c>
    </row>
    <row r="9" spans="1:45" x14ac:dyDescent="0.3">
      <c r="A9" s="96">
        <v>1018175</v>
      </c>
      <c r="B9" s="102" t="s">
        <v>385</v>
      </c>
      <c r="C9" s="101">
        <v>45791</v>
      </c>
      <c r="D9" s="98">
        <v>8000</v>
      </c>
      <c r="E9" s="98">
        <v>8000</v>
      </c>
      <c r="F9" s="98">
        <f t="shared" si="0"/>
        <v>0</v>
      </c>
      <c r="G9" s="104">
        <v>45833</v>
      </c>
      <c r="H9" s="104">
        <v>45851</v>
      </c>
      <c r="I9" s="100" t="s">
        <v>386</v>
      </c>
    </row>
    <row r="10" spans="1:45" x14ac:dyDescent="0.3">
      <c r="A10" s="96">
        <v>1085471</v>
      </c>
      <c r="B10" s="102" t="s">
        <v>420</v>
      </c>
      <c r="C10" s="101">
        <v>45917</v>
      </c>
      <c r="D10" s="98">
        <v>6000</v>
      </c>
      <c r="E10" s="98"/>
      <c r="F10" s="98">
        <f t="shared" si="0"/>
        <v>6000</v>
      </c>
      <c r="G10" s="104"/>
      <c r="H10" s="104">
        <v>45977</v>
      </c>
      <c r="I10" s="100" t="s">
        <v>421</v>
      </c>
    </row>
    <row r="11" spans="1:45" x14ac:dyDescent="0.3">
      <c r="A11" s="96"/>
      <c r="B11" s="102"/>
      <c r="C11" s="101"/>
      <c r="D11" s="98"/>
      <c r="E11" s="98"/>
      <c r="F11" s="98">
        <f t="shared" si="0"/>
        <v>0</v>
      </c>
      <c r="G11" s="104"/>
      <c r="H11" s="104"/>
      <c r="I11" s="100"/>
    </row>
    <row r="12" spans="1:45" ht="12" customHeight="1" x14ac:dyDescent="0.3">
      <c r="A12" s="96"/>
      <c r="B12" s="102"/>
      <c r="C12" s="101"/>
      <c r="D12" s="98"/>
      <c r="E12" s="98"/>
      <c r="F12" s="98">
        <f t="shared" si="0"/>
        <v>0</v>
      </c>
      <c r="G12" s="104"/>
      <c r="H12" s="104"/>
      <c r="I12" s="100"/>
    </row>
    <row r="13" spans="1:45" x14ac:dyDescent="0.3">
      <c r="C13" s="147"/>
      <c r="D13" s="107"/>
      <c r="E13" s="107"/>
      <c r="F13" s="110">
        <f>SUM(F2:F12)</f>
        <v>6000</v>
      </c>
    </row>
    <row r="14" spans="1:45" x14ac:dyDescent="0.3">
      <c r="C14" s="147"/>
      <c r="D14" s="109"/>
      <c r="F14" s="109"/>
    </row>
    <row r="15" spans="1:45" x14ac:dyDescent="0.3">
      <c r="C15" s="147"/>
      <c r="D15" s="109"/>
      <c r="E15" s="109"/>
      <c r="F15" s="109"/>
    </row>
    <row r="17" spans="3:6" x14ac:dyDescent="0.3">
      <c r="C17" s="152"/>
    </row>
    <row r="18" spans="3:6" x14ac:dyDescent="0.3">
      <c r="C18" s="153"/>
    </row>
    <row r="32" spans="3:6" x14ac:dyDescent="0.3">
      <c r="F32" s="109"/>
    </row>
  </sheetData>
  <autoFilter ref="A1:I15"/>
  <sortState ref="A2:J32">
    <sortCondition ref="A2:A32"/>
  </sortState>
  <conditionalFormatting sqref="F2:F987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" sqref="B10:B11"/>
    </sheetView>
  </sheetViews>
  <sheetFormatPr defaultColWidth="27" defaultRowHeight="13.2" x14ac:dyDescent="0.25"/>
  <cols>
    <col min="1" max="1" width="27" style="77"/>
    <col min="2" max="2" width="40.6640625" style="77" customWidth="1"/>
    <col min="3" max="3" width="27" style="77"/>
    <col min="4" max="4" width="30" style="77" customWidth="1"/>
    <col min="5" max="5" width="27" style="77"/>
    <col min="6" max="6" width="36.109375" style="77" customWidth="1"/>
    <col min="7" max="16384" width="27" style="77"/>
  </cols>
  <sheetData>
    <row r="1" spans="1:5" ht="15.6" x14ac:dyDescent="0.3">
      <c r="A1" s="4" t="s">
        <v>108</v>
      </c>
      <c r="B1" s="4" t="s">
        <v>109</v>
      </c>
      <c r="C1" s="4" t="s">
        <v>110</v>
      </c>
      <c r="D1" s="4" t="s">
        <v>111</v>
      </c>
      <c r="E1" s="4" t="s">
        <v>97</v>
      </c>
    </row>
    <row r="2" spans="1:5" ht="15.6" x14ac:dyDescent="0.3">
      <c r="A2" s="49"/>
      <c r="B2" s="78"/>
      <c r="C2" s="79"/>
      <c r="D2" s="80"/>
      <c r="E2" s="5"/>
    </row>
    <row r="3" spans="1:5" ht="15.6" x14ac:dyDescent="0.3">
      <c r="A3" s="49"/>
      <c r="B3" s="78"/>
      <c r="C3" s="79"/>
      <c r="D3" s="80"/>
      <c r="E3" s="81"/>
    </row>
    <row r="4" spans="1:5" ht="15.6" x14ac:dyDescent="0.3">
      <c r="C4" s="82">
        <f>SUM(C2:C3)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Kaucje 215 800 0000 j.niepowiąz</vt:lpstr>
      <vt:lpstr>wysłane </vt:lpstr>
      <vt:lpstr>Kaucje 210 800 0000 j.powiąz.</vt:lpstr>
      <vt:lpstr>Wadia 215 801 0000 j.niepowiąz.</vt:lpstr>
      <vt:lpstr>Wadia 210 801 0000 j.powiąz.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Mackowicz Renata</dc:creator>
  <cp:lastModifiedBy>Raplis Agnieszka</cp:lastModifiedBy>
  <dcterms:created xsi:type="dcterms:W3CDTF">2021-01-08T08:54:31Z</dcterms:created>
  <dcterms:modified xsi:type="dcterms:W3CDTF">2025-10-21T07:31:32Z</dcterms:modified>
</cp:coreProperties>
</file>