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7arap\Documents\0. Sprawozdania\2025\Badanie bilansu 2025\"/>
    </mc:Choice>
  </mc:AlternateContent>
  <bookViews>
    <workbookView xWindow="0" yWindow="0" windowWidth="28800" windowHeight="11736"/>
  </bookViews>
  <sheets>
    <sheet name="GWARANCJE otrzymane - aktualne " sheetId="1" r:id="rId1"/>
    <sheet name="GWARANCJE w ramach linii PGE" sheetId="2" r:id="rId2"/>
    <sheet name="weksle otrzymane" sheetId="3" r:id="rId3"/>
    <sheet name="weksle wydane" sheetId="4" r:id="rId4"/>
    <sheet name="poręczenia otrzymane" sheetId="5" r:id="rId5"/>
    <sheet name="poręczenia wydane" sheetId="6" r:id="rId6"/>
  </sheets>
  <definedNames>
    <definedName name="_xlnm._FilterDatabase" localSheetId="0" hidden="1">'GWARANCJE otrzymane - aktualne '!$L$1:$N$532</definedName>
    <definedName name="_xlnm._FilterDatabase" localSheetId="1" hidden="1">'GWARANCJE w ramach linii PGE'!$J$1:$L$472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7" i="1" l="1"/>
  <c r="N67" i="1"/>
  <c r="M66" i="1"/>
  <c r="N66" i="1"/>
  <c r="I67" i="1"/>
  <c r="I66" i="1"/>
  <c r="I65" i="1" l="1"/>
  <c r="I64" i="1"/>
  <c r="N25" i="1" l="1"/>
  <c r="M54" i="1"/>
  <c r="N65" i="1"/>
  <c r="M65" i="1" l="1"/>
  <c r="N64" i="1"/>
  <c r="M64" i="1"/>
  <c r="J68" i="1" l="1"/>
  <c r="I63" i="1"/>
  <c r="I62" i="1"/>
  <c r="M63" i="1"/>
  <c r="N63" i="1"/>
  <c r="N62" i="1"/>
  <c r="M62" i="1"/>
  <c r="M4" i="1" l="1"/>
  <c r="M6" i="1"/>
  <c r="M8" i="1"/>
  <c r="M10" i="1"/>
  <c r="M12" i="1"/>
  <c r="M14" i="1"/>
  <c r="M16" i="1"/>
  <c r="M18" i="1"/>
  <c r="M19" i="1"/>
  <c r="M23" i="1"/>
  <c r="M25" i="1"/>
  <c r="M26" i="1"/>
  <c r="M27" i="1"/>
  <c r="M29" i="1"/>
  <c r="M31" i="1"/>
  <c r="M33" i="1"/>
  <c r="M35" i="1"/>
  <c r="M36" i="1"/>
  <c r="M38" i="1"/>
  <c r="M40" i="1"/>
  <c r="M42" i="1"/>
  <c r="M44" i="1"/>
  <c r="M46" i="1"/>
  <c r="M48" i="1"/>
  <c r="M49" i="1"/>
  <c r="M50" i="1"/>
  <c r="M52" i="1"/>
  <c r="M53" i="1"/>
  <c r="M55" i="1"/>
  <c r="M57" i="1"/>
  <c r="M59" i="1"/>
  <c r="M60" i="1"/>
  <c r="M61" i="1"/>
  <c r="N61" i="1" l="1"/>
  <c r="N60" i="1"/>
  <c r="I59" i="1"/>
  <c r="I58" i="1"/>
  <c r="M58" i="1" s="1"/>
  <c r="N59" i="1"/>
  <c r="N58" i="1"/>
  <c r="I57" i="1"/>
  <c r="I56" i="1"/>
  <c r="M56" i="1" s="1"/>
  <c r="N57" i="1"/>
  <c r="N56" i="1"/>
  <c r="I55" i="1"/>
  <c r="I54" i="1"/>
  <c r="N55" i="1"/>
  <c r="N54" i="1"/>
  <c r="N53" i="1"/>
  <c r="I44" i="1"/>
  <c r="I52" i="1" l="1"/>
  <c r="I51" i="1"/>
  <c r="M51" i="1" s="1"/>
  <c r="I48" i="1"/>
  <c r="I47" i="1"/>
  <c r="M47" i="1" s="1"/>
  <c r="I46" i="1"/>
  <c r="I45" i="1"/>
  <c r="M45" i="1" s="1"/>
  <c r="I43" i="1"/>
  <c r="M43" i="1" s="1"/>
  <c r="I42" i="1"/>
  <c r="I41" i="1"/>
  <c r="M41" i="1" s="1"/>
  <c r="I40" i="1"/>
  <c r="I39" i="1"/>
  <c r="M39" i="1" s="1"/>
  <c r="I38" i="1"/>
  <c r="I37" i="1"/>
  <c r="M37" i="1" s="1"/>
  <c r="I35" i="1"/>
  <c r="I34" i="1"/>
  <c r="M34" i="1" s="1"/>
  <c r="I33" i="1"/>
  <c r="I32" i="1"/>
  <c r="M32" i="1" s="1"/>
  <c r="I31" i="1"/>
  <c r="I30" i="1"/>
  <c r="M30" i="1" s="1"/>
  <c r="I29" i="1"/>
  <c r="I28" i="1"/>
  <c r="M28" i="1" s="1"/>
  <c r="I25" i="1"/>
  <c r="I24" i="1"/>
  <c r="M24" i="1" s="1"/>
  <c r="I23" i="1"/>
  <c r="I22" i="1"/>
  <c r="M22" i="1" s="1"/>
  <c r="I21" i="1"/>
  <c r="M21" i="1" s="1"/>
  <c r="I20" i="1"/>
  <c r="M20" i="1" s="1"/>
  <c r="I18" i="1"/>
  <c r="I17" i="1"/>
  <c r="M17" i="1" s="1"/>
  <c r="I14" i="1"/>
  <c r="I13" i="1"/>
  <c r="M13" i="1" s="1"/>
  <c r="I12" i="1"/>
  <c r="I11" i="1"/>
  <c r="M11" i="1" s="1"/>
  <c r="I10" i="1"/>
  <c r="I9" i="1"/>
  <c r="M9" i="1" s="1"/>
  <c r="I8" i="1"/>
  <c r="I7" i="1"/>
  <c r="M7" i="1" s="1"/>
  <c r="I6" i="1"/>
  <c r="I5" i="1"/>
  <c r="M5" i="1" s="1"/>
  <c r="J16" i="1"/>
  <c r="I16" i="1" s="1"/>
  <c r="I68" i="1" s="1"/>
  <c r="J15" i="1"/>
  <c r="I15" i="1"/>
  <c r="M15" i="1" s="1"/>
  <c r="I3" i="1"/>
  <c r="I4" i="1"/>
  <c r="N16" i="1" l="1"/>
  <c r="M3" i="1"/>
  <c r="M68" i="1" s="1"/>
  <c r="N52" i="1" l="1"/>
  <c r="N51" i="1"/>
  <c r="N50" i="1"/>
  <c r="H8" i="2" l="1"/>
  <c r="G8" i="2"/>
  <c r="L7" i="2"/>
  <c r="K7" i="2"/>
  <c r="L6" i="2"/>
  <c r="K6" i="2"/>
  <c r="L5" i="2"/>
  <c r="K5" i="2"/>
  <c r="L4" i="2"/>
  <c r="K4" i="2"/>
  <c r="L3" i="2"/>
  <c r="L8" i="2" s="1"/>
  <c r="K3" i="2"/>
  <c r="K8" i="2" s="1"/>
  <c r="M8" i="2" s="1"/>
  <c r="N47" i="1" l="1"/>
  <c r="N45" i="1"/>
  <c r="N43" i="1"/>
  <c r="N41" i="1"/>
  <c r="N39" i="1"/>
  <c r="N37" i="1"/>
  <c r="N36" i="1"/>
  <c r="N34" i="1"/>
  <c r="N30" i="1"/>
  <c r="N28" i="1"/>
  <c r="N22" i="1"/>
  <c r="N20" i="1"/>
  <c r="N17" i="1"/>
  <c r="N15" i="1"/>
  <c r="N13" i="1"/>
  <c r="N11" i="1"/>
  <c r="N9" i="1"/>
  <c r="N7" i="1"/>
  <c r="N5" i="1"/>
  <c r="N4" i="1" l="1"/>
  <c r="N6" i="1"/>
  <c r="N8" i="1"/>
  <c r="N10" i="1"/>
  <c r="N12" i="1"/>
  <c r="N14" i="1"/>
  <c r="N18" i="1"/>
  <c r="N19" i="1"/>
  <c r="N21" i="1"/>
  <c r="N23" i="1"/>
  <c r="N24" i="1"/>
  <c r="N26" i="1"/>
  <c r="N27" i="1"/>
  <c r="N29" i="1"/>
  <c r="N31" i="1"/>
  <c r="N32" i="1"/>
  <c r="N33" i="1"/>
  <c r="N35" i="1"/>
  <c r="N38" i="1"/>
  <c r="N40" i="1"/>
  <c r="N42" i="1"/>
  <c r="N44" i="1"/>
  <c r="N46" i="1"/>
  <c r="N48" i="1"/>
  <c r="N49" i="1"/>
  <c r="N3" i="1"/>
  <c r="N68" i="1" l="1"/>
  <c r="O68" i="1"/>
</calcChain>
</file>

<file path=xl/comments1.xml><?xml version="1.0" encoding="utf-8"?>
<comments xmlns="http://schemas.openxmlformats.org/spreadsheetml/2006/main">
  <authors>
    <author>Mackowicz Renata</author>
  </authors>
  <commentList>
    <comment ref="K15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Mackowicz Renata:
</t>
        </r>
        <r>
          <rPr>
            <sz val="9"/>
            <color indexed="81"/>
            <rFont val="Tahoma"/>
            <family val="2"/>
            <charset val="238"/>
          </rPr>
          <t>wg umowy ostatnia dostawa do 01.06.2021 plus 30 dni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38"/>
          </rPr>
          <t>Mackowicz Renata:</t>
        </r>
        <r>
          <rPr>
            <sz val="9"/>
            <color indexed="81"/>
            <rFont val="Tahoma"/>
            <family val="2"/>
            <charset val="238"/>
          </rPr>
          <t xml:space="preserve">
09.06.2022 - potwierdzenie z DHZ - brak aneksów ,umowa zakończona, gwarancja 30%utrzymana  do dnia 02.11.2025r.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  <charset val="238"/>
          </rPr>
          <t>Mackowicz Renata:</t>
        </r>
        <r>
          <rPr>
            <sz val="9"/>
            <color indexed="81"/>
            <rFont val="Tahoma"/>
            <family val="2"/>
            <charset val="238"/>
          </rPr>
          <t xml:space="preserve">
09.06.2022 - potwierdzenie z DHZ - umowa zakończona 05.10.2021r.gwarancja bankowa utrzymana 30% do dnia 04.11.2024.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  <charset val="238"/>
          </rPr>
          <t>Mackowicz Renata:</t>
        </r>
        <r>
          <rPr>
            <sz val="9"/>
            <color indexed="81"/>
            <rFont val="Tahoma"/>
            <family val="2"/>
            <charset val="238"/>
          </rPr>
          <t xml:space="preserve">
09.06.2022 - potwierdzenie z DHZ - wykonanie przedmiotu umowy do 31.08.2024,brak aneksów terminowych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  <charset val="238"/>
          </rPr>
          <t>Mackowicz Renata:</t>
        </r>
        <r>
          <rPr>
            <sz val="9"/>
            <color indexed="81"/>
            <rFont val="Tahoma"/>
            <family val="2"/>
            <charset val="238"/>
          </rPr>
          <t xml:space="preserve">
09.06.2022 - potwierdzenie z DHZ - wykonanie przedmiotu umowy do 31.08.2024r. Brak aneksów </t>
        </r>
      </text>
    </comment>
    <comment ref="I36" authorId="0" shapeId="0">
      <text>
        <r>
          <rPr>
            <b/>
            <sz val="9"/>
            <color indexed="81"/>
            <rFont val="Tahoma"/>
            <family val="2"/>
            <charset val="238"/>
          </rPr>
          <t>Mackowicz Renata:</t>
        </r>
        <r>
          <rPr>
            <sz val="9"/>
            <color indexed="81"/>
            <rFont val="Tahoma"/>
            <family val="2"/>
            <charset val="238"/>
          </rPr>
          <t xml:space="preserve">
W dniu 10.02.2023 otrzymałam skan gwarancji od P. Bożeny Fularz - ale mam już też oryginał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  <charset val="238"/>
          </rPr>
          <t>Mackowicz Renata:</t>
        </r>
        <r>
          <rPr>
            <sz val="9"/>
            <color indexed="81"/>
            <rFont val="Tahoma"/>
            <family val="2"/>
            <charset val="238"/>
          </rPr>
          <t xml:space="preserve">
na dzień 12.05.2023 mam skan gwarancji - czekamy na wpływ oryginału
Otrzymałam oryginał w dniu 18.05.2023
</t>
        </r>
      </text>
    </comment>
  </commentList>
</comments>
</file>

<file path=xl/sharedStrings.xml><?xml version="1.0" encoding="utf-8"?>
<sst xmlns="http://schemas.openxmlformats.org/spreadsheetml/2006/main" count="233" uniqueCount="174">
  <si>
    <t>Lp.</t>
  </si>
  <si>
    <t>Nazwa firmy</t>
  </si>
  <si>
    <t>Bank / Ubezpieczyciel wydający gwarancję</t>
  </si>
  <si>
    <t>Numer umowy</t>
  </si>
  <si>
    <t>Termin ważności</t>
  </si>
  <si>
    <t>data otrzymania</t>
  </si>
  <si>
    <t>STAL-SYSTEM S.A.</t>
  </si>
  <si>
    <t>AXA Ubezpieczenia Towarzystwo ubezpieczeń i Reasekuracji S.A.</t>
  </si>
  <si>
    <t>EZ/54/1/UP/2017</t>
  </si>
  <si>
    <t>od odbioru do 30.07.2025</t>
  </si>
  <si>
    <t>PPU Eljot Jacek Jurkiewicz</t>
  </si>
  <si>
    <t>InterRisk Towarzystwo Ubezpieczeń S.A.</t>
  </si>
  <si>
    <t>GHZ/100/1/UP/2018</t>
  </si>
  <si>
    <t>od 04.01.2019 do 30.06.2020</t>
  </si>
  <si>
    <t>od 01.07.2020 do 15.07.2025</t>
  </si>
  <si>
    <t>LINTER SA</t>
  </si>
  <si>
    <t>Towarzystwo Ubezpieczeń i Reasekuracji WARTA SA</t>
  </si>
  <si>
    <t>GHZ/72/1463/UD/2019</t>
  </si>
  <si>
    <t>od 29.07.2019 do 08.12.2019</t>
  </si>
  <si>
    <t>nienależyte wykonanie umowy</t>
  </si>
  <si>
    <t>09.12.2019 do 23.11.2024</t>
  </si>
  <si>
    <t>wady i usterki</t>
  </si>
  <si>
    <t>Generali Towarzystwo Ubezpieczeń S.A</t>
  </si>
  <si>
    <t>PASCAL PREFABRYKATY sp. z o.o.</t>
  </si>
  <si>
    <t>GHZ/10/1/UD/2020</t>
  </si>
  <si>
    <t>24.01.2020 - 30.11.2020</t>
  </si>
  <si>
    <t>01.12.2020 - 16.12.2025</t>
  </si>
  <si>
    <t>Rapid sp. z o.o.</t>
  </si>
  <si>
    <t>GHZ/4/1/UP/2020</t>
  </si>
  <si>
    <t>10.02.2020 plus aneks nr  1 z dnia 09.07.2020 i aneks nr 2 z 18.07.2022 (aneks nr 2 elektroniczny)</t>
  </si>
  <si>
    <t>10.02.2020 - 30.09.2020</t>
  </si>
  <si>
    <t>01.10.2020 - 14.11.2025</t>
  </si>
  <si>
    <t>"ELPLAST+" Sp. z o.o.</t>
  </si>
  <si>
    <t>24.06.2020 - 01.07.2021</t>
  </si>
  <si>
    <t>02.07.2021 - 16.07.2026</t>
  </si>
  <si>
    <t>Lechler GmbH</t>
  </si>
  <si>
    <t>Deutsche Bank AG</t>
  </si>
  <si>
    <t>GHZ/47/1590/DU/2020</t>
  </si>
  <si>
    <t>100% - 14.08.2020 - 01.07.2021</t>
  </si>
  <si>
    <t>30% - 01.07.2021 do 16.07.2026</t>
  </si>
  <si>
    <t>Polska Ceramika Ogniotrwała Serwis S.A.</t>
  </si>
  <si>
    <t>mBank S.A. Warszawa</t>
  </si>
  <si>
    <t>GHZ/175/1578/UP/2020</t>
  </si>
  <si>
    <t>04.02.2021 - 18.10.2021</t>
  </si>
  <si>
    <t>19.10.2021 - 02.11.2025</t>
  </si>
  <si>
    <t>Przedsiębiorstwo Budowlano-Usługowe "Rebus" Ryszard Lewsza</t>
  </si>
  <si>
    <t>PZU S.A.</t>
  </si>
  <si>
    <t>DHZ/31/1685/UP/2021</t>
  </si>
  <si>
    <t>27.04.2021 r. plus aneks z dnia 17.05.2021</t>
  </si>
  <si>
    <t>01.07.2021 - 16.07.2024</t>
  </si>
  <si>
    <t>Holduct Sp. z o.o.</t>
  </si>
  <si>
    <t>Bank Pekao S.A.</t>
  </si>
  <si>
    <t>DHZ/61/959/UD/2021</t>
  </si>
  <si>
    <t>do 15.11.2021</t>
  </si>
  <si>
    <t>16.11.2021 - 30.10.2024</t>
  </si>
  <si>
    <t>Multiserwis Sp. z o.o.</t>
  </si>
  <si>
    <t xml:space="preserve">Skandinaviska Enskilda Banken AB (Spółka Akcyjna) oddział w Polsce </t>
  </si>
  <si>
    <t>DHZ/74/1940/UP/2021</t>
  </si>
  <si>
    <t>01.10.2021 - 04.11.2021</t>
  </si>
  <si>
    <t>05.11.2021 - 04.11.2024</t>
  </si>
  <si>
    <t>Montorem SA</t>
  </si>
  <si>
    <t>14.01.2022 plus aneks nr 1 z 24.01.2022</t>
  </si>
  <si>
    <t>12.01.2021 - 30.09.2024</t>
  </si>
  <si>
    <t>01.10.2024 - 30.09.2025</t>
  </si>
  <si>
    <t>Famak S.A.</t>
  </si>
  <si>
    <t>DHZ/3/1955/UP/2022</t>
  </si>
  <si>
    <t>15.03.2022 - 30.09.2024</t>
  </si>
  <si>
    <t>Energoprojekt Katowice SA</t>
  </si>
  <si>
    <t xml:space="preserve">PKO BP SA </t>
  </si>
  <si>
    <t>ZH/19/199/219/UP/2015</t>
  </si>
  <si>
    <t>10.06.2022 - 21.06.2026</t>
  </si>
  <si>
    <t>Przedsiębiorstwo Robót Instalacyjnych INSBUD Sp. z o.o.</t>
  </si>
  <si>
    <t>DHZ/42/1830/UP/2022</t>
  </si>
  <si>
    <t>27.10.2022 plus aneks mr 1 z dnia 12.01.2023 plus aneks nr 2 z 27.03.2023</t>
  </si>
  <si>
    <t>27.10.2022 - 10.05.2023</t>
  </si>
  <si>
    <t>11.05.2023 - 26.05.2028</t>
  </si>
  <si>
    <t>Zakłady Remontowe Energetyki Katowice S.A.</t>
  </si>
  <si>
    <t>DHZ/38/2095/UP/2022</t>
  </si>
  <si>
    <t>23.09.2022 - 09.01.2023</t>
  </si>
  <si>
    <t>10.01.2023 - 09.01.2026</t>
  </si>
  <si>
    <t>Niwa Sp.  z o.o.</t>
  </si>
  <si>
    <t>DHZ/44/2095/UP/2022</t>
  </si>
  <si>
    <t>13.10.2022 - 09.01.2023</t>
  </si>
  <si>
    <t>DHZ/6/2072/UP/2023</t>
  </si>
  <si>
    <t>31.01.2023 - 19.04.2023</t>
  </si>
  <si>
    <t>20.04.2023 - 04.04.2027</t>
  </si>
  <si>
    <t>Przedsiębiorstwo Budowlano - Montażowe "Energotech" Sp. z o.o.</t>
  </si>
  <si>
    <t>Bank Millennium</t>
  </si>
  <si>
    <t>DHZ/70/2120/UP/2020</t>
  </si>
  <si>
    <t>26.01.2023 - 15.05.2025</t>
  </si>
  <si>
    <t>Multiserwis Spółka z o.o.</t>
  </si>
  <si>
    <t>DHZ/14/2143/UP/2023</t>
  </si>
  <si>
    <t>29.03.2023 - 20.12.2023</t>
  </si>
  <si>
    <t>21.12.2023 - 20.12.2025</t>
  </si>
  <si>
    <t>Konecranes and Demag Sp. z o.o.</t>
  </si>
  <si>
    <t>Bank Handlowy w Warszawie</t>
  </si>
  <si>
    <t>DHZ/72/1888/UD/2022</t>
  </si>
  <si>
    <t>04.04.2023 - 15.05.2023</t>
  </si>
  <si>
    <t>16.05.2023 - 30.05.2025</t>
  </si>
  <si>
    <t>DHZ/36/2120/UP/2023</t>
  </si>
  <si>
    <t>11.05.2023 - 27.05.2023</t>
  </si>
  <si>
    <t>28.05.2023 - 28.05.2025</t>
  </si>
  <si>
    <t>EMER POMORZE Sp. z o.o.</t>
  </si>
  <si>
    <t>Towarzystwo Ubezpieczeń ERGO Hestia SA</t>
  </si>
  <si>
    <t>25.04.2023 - 29.06.2023</t>
  </si>
  <si>
    <t>WORLD ACOUSTIC GROUP S.A.</t>
  </si>
  <si>
    <t>DHZ/69/2035/UD/2023</t>
  </si>
  <si>
    <t>TNS Sp.  Z o.o.</t>
  </si>
  <si>
    <t>DHZ/62/1888/UP/2023</t>
  </si>
  <si>
    <t>20.07.2023 - 19.11.2023</t>
  </si>
  <si>
    <t>20.10.2023 - 03.11.2025</t>
  </si>
  <si>
    <t>DHZ/58/1955/UP/2023</t>
  </si>
  <si>
    <t>19.07.2023 - 30.09.2024</t>
  </si>
  <si>
    <t>ważne</t>
  </si>
  <si>
    <t>wygasłe</t>
  </si>
  <si>
    <t>graniczna data gwarancji</t>
  </si>
  <si>
    <t xml:space="preserve">DHZ/95/1955/UP/2022 </t>
  </si>
  <si>
    <t>od 05.02.2018  do 30.07.2020</t>
  </si>
  <si>
    <t>GHZ/23/1590/UD/2020 - elektroniczna</t>
  </si>
  <si>
    <t>Wartość PLN</t>
  </si>
  <si>
    <t>Wartość EUR</t>
  </si>
  <si>
    <t>05.02.2018 + aneks nr 1 - 18.06.2019 (zwiększenie wartości gwarancji) + aneks nr 2 - 08.05.2020 r (wydłużenie okresu obowiązywania)</t>
  </si>
  <si>
    <t>GWARANCJE otrzymane</t>
  </si>
  <si>
    <t>TAB 251/A/NBP/2023 z 29-12-2023</t>
  </si>
  <si>
    <t>EUR</t>
  </si>
  <si>
    <t>RAZEM</t>
  </si>
  <si>
    <t>zakres gwarancji</t>
  </si>
  <si>
    <t>Data wystawienia gwarancji</t>
  </si>
  <si>
    <t>AB Pemont</t>
  </si>
  <si>
    <t>4622-01842</t>
  </si>
  <si>
    <t>01.08.2023 - 18.01.2024</t>
  </si>
  <si>
    <t>Keller Polska Sp. z o.o.</t>
  </si>
  <si>
    <t>20.10.2023 - 30.11.2023</t>
  </si>
  <si>
    <t>01.12.2023 - 31.12.2026</t>
  </si>
  <si>
    <t>DHZ/33/2195/UP/2023</t>
  </si>
  <si>
    <t>CaixaBank SA oddział w Polsce</t>
  </si>
  <si>
    <t>DHZ/25/1798//UP/2023</t>
  </si>
  <si>
    <t>25.04.2023 plus aneks nr 2 z 11.01.2024</t>
  </si>
  <si>
    <t xml:space="preserve">DHZ/13/1798/UP/2023 </t>
  </si>
  <si>
    <t>30.06.2023 - 20.12.2026</t>
  </si>
  <si>
    <t>17.05.2023 plus aneks nr 1 z 05.09.2023</t>
  </si>
  <si>
    <t>02.05.2023 - 30.10.2023</t>
  </si>
  <si>
    <t>30.10.2023 - 30.11.2026</t>
  </si>
  <si>
    <t>22.04.2024 - 18.01.2025</t>
  </si>
  <si>
    <t>DHZ/23/3351/UP/2024</t>
  </si>
  <si>
    <t>21.05.2024 - 18.01.2025</t>
  </si>
  <si>
    <t>19.01.2025 - 05.01.2027</t>
  </si>
  <si>
    <t>DHZ/19/4390/UP/2024</t>
  </si>
  <si>
    <t>27.05.2024 - 14.06.2024</t>
  </si>
  <si>
    <t>15.06.2024 - 14.06.2025</t>
  </si>
  <si>
    <t>Procom System SA</t>
  </si>
  <si>
    <t>WIENER Towarzystwo Ubezpieczeń SA Vienna Insurance Group</t>
  </si>
  <si>
    <t>DHZ/30/4403/UD/2024</t>
  </si>
  <si>
    <t>27.05.2024 - 29.09.2024</t>
  </si>
  <si>
    <t>31.08.2024 - 15.09.2026</t>
  </si>
  <si>
    <t>DHZ/16/4389/UP/2024</t>
  </si>
  <si>
    <t>07.06.2024 - 30.01.2026</t>
  </si>
  <si>
    <t>DHZ/50/4495/UP/2024</t>
  </si>
  <si>
    <t>30.09.2024 - 30.09.2027</t>
  </si>
  <si>
    <t>Przedsiębiorstwo Innowacyjno - Wrdożeniowe "Sidus" s.c. Bogumił Janecki, Piotr Płatek, Leszek Stopiński</t>
  </si>
  <si>
    <t>Sopockie Towarzystwo Ubezpieczeń ERGO Hestia S.A.</t>
  </si>
  <si>
    <t>DHZ/52/UD/2024</t>
  </si>
  <si>
    <t>09.09.2024 - 30.01.2025</t>
  </si>
  <si>
    <t>31.01.2025 - 14.02.2027</t>
  </si>
  <si>
    <t>Bank Millennium S.A.</t>
  </si>
  <si>
    <t>DHZ/22/4569/UD/2025</t>
  </si>
  <si>
    <t>23.07.2025 - 01.10.2025</t>
  </si>
  <si>
    <t>02.10.2025 - 01.11.2027</t>
  </si>
  <si>
    <t>ELWO Engineering Sp. z o.o.</t>
  </si>
  <si>
    <t>Trade Finance Services, Bank Guarantees Praha - Republika Czeska</t>
  </si>
  <si>
    <t>DHZ/18/4569/UD/2025</t>
  </si>
  <si>
    <t>24.07.2025 - 06.03.2026</t>
  </si>
  <si>
    <t>07.03.2026 - 06.03.2028</t>
  </si>
  <si>
    <t>Tabela nr 189/A/NBP/2024 z dnia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</si>
</sst>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.0000"/>
  </numFmts>
  <fonts count="7" x14ac:knownFonts="1">
    <font>
      <sz val="10"/>
      <name val="Arial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6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center"/>
    </xf>
    <xf numFmtId="14" fontId="3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5" fontId="5" fillId="2" borderId="0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/>
    </xf>
    <xf numFmtId="4" fontId="4" fillId="0" borderId="2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right" vertical="center"/>
    </xf>
    <xf numFmtId="4" fontId="5" fillId="4" borderId="2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vertical="center"/>
    </xf>
    <xf numFmtId="164" fontId="5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165" fontId="5" fillId="2" borderId="0" xfId="1" applyNumberFormat="1" applyFont="1" applyFill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right" vertical="center"/>
    </xf>
    <xf numFmtId="4" fontId="5" fillId="4" borderId="2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14" fontId="4" fillId="0" borderId="2" xfId="1" applyNumberFormat="1" applyFont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right" vertical="center"/>
    </xf>
    <xf numFmtId="14" fontId="4" fillId="0" borderId="2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right" vertical="center" wrapText="1"/>
    </xf>
    <xf numFmtId="14" fontId="4" fillId="0" borderId="0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4" fontId="3" fillId="0" borderId="0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right" vertical="center"/>
    </xf>
    <xf numFmtId="4" fontId="4" fillId="0" borderId="0" xfId="1" applyNumberFormat="1" applyFont="1" applyFill="1" applyBorder="1" applyAlignment="1">
      <alignment horizontal="right" vertical="center"/>
    </xf>
    <xf numFmtId="4" fontId="5" fillId="2" borderId="0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Alignment="1">
      <alignment vertical="center"/>
    </xf>
    <xf numFmtId="0" fontId="4" fillId="0" borderId="0" xfId="1" applyFont="1" applyFill="1" applyAlignment="1">
      <alignment horizontal="right" vertical="center"/>
    </xf>
    <xf numFmtId="164" fontId="4" fillId="0" borderId="0" xfId="1" applyNumberFormat="1" applyFont="1" applyAlignment="1">
      <alignment vertical="center" wrapText="1"/>
    </xf>
    <xf numFmtId="4" fontId="4" fillId="0" borderId="0" xfId="1" applyNumberFormat="1" applyFont="1" applyAlignment="1">
      <alignment horizontal="right" vertical="center"/>
    </xf>
    <xf numFmtId="4" fontId="4" fillId="0" borderId="0" xfId="1" applyNumberFormat="1" applyFont="1" applyAlignment="1">
      <alignment vertical="center"/>
    </xf>
    <xf numFmtId="0" fontId="5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/>
    </xf>
    <xf numFmtId="14" fontId="4" fillId="0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right" vertical="center"/>
    </xf>
    <xf numFmtId="14" fontId="4" fillId="0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right" vertical="center"/>
    </xf>
    <xf numFmtId="14" fontId="4" fillId="0" borderId="6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right" vertical="center"/>
    </xf>
    <xf numFmtId="14" fontId="4" fillId="0" borderId="9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right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1" applyFont="1" applyFill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/>
    </xf>
    <xf numFmtId="14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32"/>
  <sheetViews>
    <sheetView tabSelected="1" zoomScaleNormal="100" workbookViewId="0">
      <pane xSplit="2" ySplit="2" topLeftCell="C63" activePane="bottomRight" state="frozen"/>
      <selection pane="topRight" activeCell="C1" sqref="C1"/>
      <selection pane="bottomLeft" activeCell="A3" sqref="A3"/>
      <selection pane="bottomRight" activeCell="D89" sqref="D89"/>
    </sheetView>
  </sheetViews>
  <sheetFormatPr defaultColWidth="9.109375" defaultRowHeight="10.199999999999999" x14ac:dyDescent="0.25"/>
  <cols>
    <col min="1" max="1" width="4.109375" style="2" bestFit="1" customWidth="1"/>
    <col min="2" max="2" width="17.6640625" style="2" customWidth="1"/>
    <col min="3" max="3" width="18.33203125" style="2" customWidth="1"/>
    <col min="4" max="4" width="18.5546875" style="2" customWidth="1"/>
    <col min="5" max="5" width="20.33203125" style="2" customWidth="1"/>
    <col min="6" max="6" width="10.5546875" style="19" customWidth="1"/>
    <col min="7" max="7" width="16.109375" style="2" customWidth="1"/>
    <col min="8" max="8" width="10.6640625" style="2" customWidth="1"/>
    <col min="9" max="10" width="12.6640625" style="23" customWidth="1"/>
    <col min="11" max="11" width="21.33203125" style="2" customWidth="1"/>
    <col min="12" max="12" width="10.6640625" style="20" customWidth="1"/>
    <col min="13" max="14" width="13.44140625" style="16" customWidth="1"/>
    <col min="15" max="15" width="11" style="2" customWidth="1"/>
    <col min="16" max="16384" width="9.109375" style="2"/>
  </cols>
  <sheetData>
    <row r="1" spans="1:15" ht="16.95" customHeight="1" x14ac:dyDescent="0.25">
      <c r="A1" s="36" t="s">
        <v>122</v>
      </c>
      <c r="B1" s="36"/>
      <c r="C1" s="36"/>
      <c r="D1" s="36"/>
      <c r="E1" s="36"/>
      <c r="F1" s="36"/>
      <c r="G1" s="36"/>
      <c r="H1" s="36"/>
      <c r="I1" s="36"/>
      <c r="J1" s="21">
        <v>45930</v>
      </c>
      <c r="K1" s="150" t="s">
        <v>173</v>
      </c>
      <c r="L1" s="150"/>
      <c r="M1" s="25" t="s">
        <v>124</v>
      </c>
      <c r="N1" s="26">
        <v>4.2691999999999997</v>
      </c>
      <c r="O1" s="1"/>
    </row>
    <row r="2" spans="1:15" ht="31.95" customHeight="1" x14ac:dyDescent="0.25">
      <c r="A2" s="31" t="s">
        <v>0</v>
      </c>
      <c r="B2" s="31" t="s">
        <v>1</v>
      </c>
      <c r="C2" s="32" t="s">
        <v>2</v>
      </c>
      <c r="D2" s="31" t="s">
        <v>3</v>
      </c>
      <c r="E2" s="32" t="s">
        <v>127</v>
      </c>
      <c r="F2" s="33" t="s">
        <v>5</v>
      </c>
      <c r="G2" s="32" t="s">
        <v>126</v>
      </c>
      <c r="H2" s="32"/>
      <c r="I2" s="34" t="s">
        <v>119</v>
      </c>
      <c r="J2" s="31" t="s">
        <v>120</v>
      </c>
      <c r="K2" s="31" t="s">
        <v>4</v>
      </c>
      <c r="L2" s="33" t="s">
        <v>115</v>
      </c>
      <c r="M2" s="35" t="s">
        <v>114</v>
      </c>
      <c r="N2" s="35" t="s">
        <v>113</v>
      </c>
      <c r="O2" s="3"/>
    </row>
    <row r="3" spans="1:15" ht="28.95" customHeight="1" x14ac:dyDescent="0.25">
      <c r="A3" s="142">
        <v>1</v>
      </c>
      <c r="B3" s="157" t="s">
        <v>6</v>
      </c>
      <c r="C3" s="158" t="s">
        <v>7</v>
      </c>
      <c r="D3" s="119" t="s">
        <v>8</v>
      </c>
      <c r="E3" s="123" t="s">
        <v>121</v>
      </c>
      <c r="F3" s="118">
        <v>43139</v>
      </c>
      <c r="G3" s="13"/>
      <c r="H3" s="76"/>
      <c r="I3" s="7">
        <f>ROUND(2310691.41*70%,2)-0.01</f>
        <v>1617483.98</v>
      </c>
      <c r="J3" s="7"/>
      <c r="K3" s="4" t="s">
        <v>117</v>
      </c>
      <c r="L3" s="18">
        <v>44042</v>
      </c>
      <c r="M3" s="30">
        <f>IF(L3&gt;$J$1-1,"",I3)</f>
        <v>1617483.98</v>
      </c>
      <c r="N3" s="30" t="str">
        <f t="shared" ref="N3:N20" si="0">IF(L3&lt;$J$1,"",I3)</f>
        <v/>
      </c>
      <c r="O3" s="5"/>
    </row>
    <row r="4" spans="1:15" ht="28.95" customHeight="1" x14ac:dyDescent="0.25">
      <c r="A4" s="142"/>
      <c r="B4" s="157"/>
      <c r="C4" s="158"/>
      <c r="D4" s="119"/>
      <c r="E4" s="123"/>
      <c r="F4" s="118"/>
      <c r="G4" s="13"/>
      <c r="H4" s="76"/>
      <c r="I4" s="7">
        <f>ROUND(2310691.41*30%,2)+0.01</f>
        <v>693207.43</v>
      </c>
      <c r="J4" s="7"/>
      <c r="K4" s="4" t="s">
        <v>9</v>
      </c>
      <c r="L4" s="22">
        <v>45868</v>
      </c>
      <c r="M4" s="30">
        <f t="shared" ref="M4:M61" si="1">IF(L4&gt;$J$1-1,"",I4)</f>
        <v>693207.43</v>
      </c>
      <c r="N4" s="30" t="str">
        <f t="shared" si="0"/>
        <v/>
      </c>
      <c r="O4" s="5"/>
    </row>
    <row r="5" spans="1:15" ht="20.399999999999999" customHeight="1" x14ac:dyDescent="0.25">
      <c r="A5" s="142">
        <v>2</v>
      </c>
      <c r="B5" s="158" t="s">
        <v>10</v>
      </c>
      <c r="C5" s="121" t="s">
        <v>11</v>
      </c>
      <c r="D5" s="119" t="s">
        <v>12</v>
      </c>
      <c r="E5" s="123">
        <v>43516</v>
      </c>
      <c r="F5" s="118"/>
      <c r="G5" s="13"/>
      <c r="H5" s="76"/>
      <c r="I5" s="7">
        <f>ROUND(51000*70%,2)</f>
        <v>35700</v>
      </c>
      <c r="J5" s="7"/>
      <c r="K5" s="4" t="s">
        <v>13</v>
      </c>
      <c r="L5" s="18">
        <v>44012</v>
      </c>
      <c r="M5" s="30">
        <f t="shared" si="1"/>
        <v>35700</v>
      </c>
      <c r="N5" s="30" t="str">
        <f t="shared" si="0"/>
        <v/>
      </c>
      <c r="O5" s="6"/>
    </row>
    <row r="6" spans="1:15" ht="20.399999999999999" customHeight="1" x14ac:dyDescent="0.25">
      <c r="A6" s="142"/>
      <c r="B6" s="158"/>
      <c r="C6" s="121"/>
      <c r="D6" s="119"/>
      <c r="E6" s="123"/>
      <c r="F6" s="118"/>
      <c r="G6" s="13"/>
      <c r="H6" s="76"/>
      <c r="I6" s="7">
        <f>ROUND(51000*30%,2)</f>
        <v>15300</v>
      </c>
      <c r="J6" s="7"/>
      <c r="K6" s="4" t="s">
        <v>14</v>
      </c>
      <c r="L6" s="22">
        <v>45853</v>
      </c>
      <c r="M6" s="30">
        <f t="shared" si="1"/>
        <v>15300</v>
      </c>
      <c r="N6" s="30" t="str">
        <f t="shared" si="0"/>
        <v/>
      </c>
      <c r="O6" s="6"/>
    </row>
    <row r="7" spans="1:15" ht="20.399999999999999" customHeight="1" x14ac:dyDescent="0.25">
      <c r="A7" s="142">
        <v>3</v>
      </c>
      <c r="B7" s="158" t="s">
        <v>15</v>
      </c>
      <c r="C7" s="121" t="s">
        <v>16</v>
      </c>
      <c r="D7" s="119" t="s">
        <v>17</v>
      </c>
      <c r="E7" s="123">
        <v>43684</v>
      </c>
      <c r="F7" s="118"/>
      <c r="G7" s="13" t="s">
        <v>19</v>
      </c>
      <c r="H7" s="76"/>
      <c r="I7" s="7">
        <f>ROUND(24600*70%,2)</f>
        <v>17220</v>
      </c>
      <c r="J7" s="7"/>
      <c r="K7" s="4" t="s">
        <v>18</v>
      </c>
      <c r="L7" s="18">
        <v>43807</v>
      </c>
      <c r="M7" s="30">
        <f t="shared" si="1"/>
        <v>17220</v>
      </c>
      <c r="N7" s="30" t="str">
        <f t="shared" si="0"/>
        <v/>
      </c>
      <c r="O7" s="5"/>
    </row>
    <row r="8" spans="1:15" ht="20.399999999999999" customHeight="1" x14ac:dyDescent="0.25">
      <c r="A8" s="142"/>
      <c r="B8" s="158"/>
      <c r="C8" s="121"/>
      <c r="D8" s="119"/>
      <c r="E8" s="123"/>
      <c r="F8" s="118"/>
      <c r="G8" s="13" t="s">
        <v>21</v>
      </c>
      <c r="H8" s="76"/>
      <c r="I8" s="7">
        <f>ROUND(24600*30%,2)</f>
        <v>7380</v>
      </c>
      <c r="J8" s="7"/>
      <c r="K8" s="4" t="s">
        <v>20</v>
      </c>
      <c r="L8" s="22">
        <v>45619</v>
      </c>
      <c r="M8" s="30">
        <f t="shared" si="1"/>
        <v>7380</v>
      </c>
      <c r="N8" s="30" t="str">
        <f t="shared" si="0"/>
        <v/>
      </c>
      <c r="O8" s="5"/>
    </row>
    <row r="9" spans="1:15" ht="20.399999999999999" customHeight="1" x14ac:dyDescent="0.25">
      <c r="A9" s="142">
        <v>4</v>
      </c>
      <c r="B9" s="120" t="s">
        <v>23</v>
      </c>
      <c r="C9" s="121" t="s">
        <v>11</v>
      </c>
      <c r="D9" s="119" t="s">
        <v>24</v>
      </c>
      <c r="E9" s="123">
        <v>43866</v>
      </c>
      <c r="F9" s="118"/>
      <c r="G9" s="13" t="s">
        <v>19</v>
      </c>
      <c r="H9" s="76"/>
      <c r="I9" s="7">
        <f>ROUND(4374.3*70%,2)</f>
        <v>3062.01</v>
      </c>
      <c r="J9" s="7"/>
      <c r="K9" s="4" t="s">
        <v>25</v>
      </c>
      <c r="L9" s="18">
        <v>44165</v>
      </c>
      <c r="M9" s="30">
        <f t="shared" si="1"/>
        <v>3062.01</v>
      </c>
      <c r="N9" s="30" t="str">
        <f t="shared" si="0"/>
        <v/>
      </c>
      <c r="O9" s="6"/>
    </row>
    <row r="10" spans="1:15" ht="20.399999999999999" customHeight="1" x14ac:dyDescent="0.25">
      <c r="A10" s="142"/>
      <c r="B10" s="120"/>
      <c r="C10" s="121"/>
      <c r="D10" s="119"/>
      <c r="E10" s="123"/>
      <c r="F10" s="118"/>
      <c r="G10" s="13" t="s">
        <v>21</v>
      </c>
      <c r="H10" s="76"/>
      <c r="I10" s="7">
        <f>ROUND(4374.3*30%,2)</f>
        <v>1312.29</v>
      </c>
      <c r="J10" s="7"/>
      <c r="K10" s="4" t="s">
        <v>26</v>
      </c>
      <c r="L10" s="22">
        <v>46007</v>
      </c>
      <c r="M10" s="30" t="str">
        <f t="shared" si="1"/>
        <v/>
      </c>
      <c r="N10" s="30">
        <f t="shared" si="0"/>
        <v>1312.29</v>
      </c>
      <c r="O10" s="6"/>
    </row>
    <row r="11" spans="1:15" ht="20.399999999999999" customHeight="1" x14ac:dyDescent="0.25">
      <c r="A11" s="119">
        <v>5</v>
      </c>
      <c r="B11" s="120" t="s">
        <v>27</v>
      </c>
      <c r="C11" s="121" t="s">
        <v>16</v>
      </c>
      <c r="D11" s="119" t="s">
        <v>28</v>
      </c>
      <c r="E11" s="123" t="s">
        <v>29</v>
      </c>
      <c r="F11" s="118"/>
      <c r="G11" s="13" t="s">
        <v>19</v>
      </c>
      <c r="H11" s="76"/>
      <c r="I11" s="7">
        <f>ROUND(48200*70%,2)</f>
        <v>33740</v>
      </c>
      <c r="J11" s="7"/>
      <c r="K11" s="4" t="s">
        <v>30</v>
      </c>
      <c r="L11" s="18">
        <v>44104</v>
      </c>
      <c r="M11" s="30">
        <f t="shared" si="1"/>
        <v>33740</v>
      </c>
      <c r="N11" s="30" t="str">
        <f t="shared" si="0"/>
        <v/>
      </c>
      <c r="O11" s="5"/>
    </row>
    <row r="12" spans="1:15" ht="20.399999999999999" customHeight="1" x14ac:dyDescent="0.25">
      <c r="A12" s="119"/>
      <c r="B12" s="120"/>
      <c r="C12" s="121"/>
      <c r="D12" s="119"/>
      <c r="E12" s="123"/>
      <c r="F12" s="118"/>
      <c r="G12" s="13" t="s">
        <v>21</v>
      </c>
      <c r="H12" s="76"/>
      <c r="I12" s="7">
        <f>ROUND(48200*30%,2)</f>
        <v>14460</v>
      </c>
      <c r="J12" s="7"/>
      <c r="K12" s="4" t="s">
        <v>31</v>
      </c>
      <c r="L12" s="22">
        <v>45975</v>
      </c>
      <c r="M12" s="30" t="str">
        <f t="shared" si="1"/>
        <v/>
      </c>
      <c r="N12" s="30">
        <f t="shared" si="0"/>
        <v>14460</v>
      </c>
      <c r="O12" s="5"/>
    </row>
    <row r="13" spans="1:15" ht="20.399999999999999" customHeight="1" x14ac:dyDescent="0.25">
      <c r="A13" s="142">
        <v>6</v>
      </c>
      <c r="B13" s="120" t="s">
        <v>32</v>
      </c>
      <c r="C13" s="121" t="s">
        <v>22</v>
      </c>
      <c r="D13" s="122" t="s">
        <v>118</v>
      </c>
      <c r="E13" s="123">
        <v>44006</v>
      </c>
      <c r="F13" s="118"/>
      <c r="G13" s="13" t="s">
        <v>19</v>
      </c>
      <c r="H13" s="76"/>
      <c r="I13" s="7">
        <f>ROUND(29081.7*70%,2)</f>
        <v>20357.189999999999</v>
      </c>
      <c r="J13" s="7"/>
      <c r="K13" s="4" t="s">
        <v>33</v>
      </c>
      <c r="L13" s="18">
        <v>44378</v>
      </c>
      <c r="M13" s="30">
        <f t="shared" si="1"/>
        <v>20357.189999999999</v>
      </c>
      <c r="N13" s="30" t="str">
        <f t="shared" si="0"/>
        <v/>
      </c>
      <c r="O13" s="5"/>
    </row>
    <row r="14" spans="1:15" ht="20.399999999999999" customHeight="1" x14ac:dyDescent="0.25">
      <c r="A14" s="142"/>
      <c r="B14" s="120"/>
      <c r="C14" s="121"/>
      <c r="D14" s="122"/>
      <c r="E14" s="123"/>
      <c r="F14" s="118"/>
      <c r="G14" s="13" t="s">
        <v>21</v>
      </c>
      <c r="H14" s="76"/>
      <c r="I14" s="7">
        <f>ROUND(29081.7*30%,2)</f>
        <v>8724.51</v>
      </c>
      <c r="J14" s="7"/>
      <c r="K14" s="4" t="s">
        <v>34</v>
      </c>
      <c r="L14" s="22">
        <v>46219</v>
      </c>
      <c r="M14" s="30" t="str">
        <f t="shared" si="1"/>
        <v/>
      </c>
      <c r="N14" s="30">
        <f t="shared" si="0"/>
        <v>8724.51</v>
      </c>
      <c r="O14" s="5"/>
    </row>
    <row r="15" spans="1:15" ht="20.399999999999999" customHeight="1" x14ac:dyDescent="0.25">
      <c r="A15" s="142">
        <v>7</v>
      </c>
      <c r="B15" s="120" t="s">
        <v>35</v>
      </c>
      <c r="C15" s="121" t="s">
        <v>36</v>
      </c>
      <c r="D15" s="119" t="s">
        <v>37</v>
      </c>
      <c r="E15" s="123">
        <v>44057</v>
      </c>
      <c r="F15" s="118"/>
      <c r="G15" s="13"/>
      <c r="H15" s="76"/>
      <c r="I15" s="7">
        <f>(6606.72*4.6329)*70%</f>
        <v>21425.791161599998</v>
      </c>
      <c r="J15" s="7">
        <f>6606.72*70%</f>
        <v>4624.7039999999997</v>
      </c>
      <c r="K15" s="4" t="s">
        <v>38</v>
      </c>
      <c r="L15" s="18">
        <v>44378</v>
      </c>
      <c r="M15" s="30">
        <f t="shared" si="1"/>
        <v>21425.791161599998</v>
      </c>
      <c r="N15" s="30" t="str">
        <f t="shared" si="0"/>
        <v/>
      </c>
      <c r="O15" s="8"/>
    </row>
    <row r="16" spans="1:15" ht="20.399999999999999" customHeight="1" x14ac:dyDescent="0.25">
      <c r="A16" s="142"/>
      <c r="B16" s="120"/>
      <c r="C16" s="121"/>
      <c r="D16" s="119"/>
      <c r="E16" s="123"/>
      <c r="F16" s="118"/>
      <c r="G16" s="13"/>
      <c r="H16" s="76"/>
      <c r="I16" s="7">
        <f>ROUND(J16*N1,2)</f>
        <v>8461.64</v>
      </c>
      <c r="J16" s="27">
        <f>ROUND(6606.72*30%,2)</f>
        <v>1982.02</v>
      </c>
      <c r="K16" s="4" t="s">
        <v>39</v>
      </c>
      <c r="L16" s="22">
        <v>46219</v>
      </c>
      <c r="M16" s="30" t="str">
        <f t="shared" si="1"/>
        <v/>
      </c>
      <c r="N16" s="30">
        <f>IF(L16&lt;$J$1,"",I16)</f>
        <v>8461.64</v>
      </c>
      <c r="O16" s="8"/>
    </row>
    <row r="17" spans="1:15" ht="20.399999999999999" customHeight="1" x14ac:dyDescent="0.25">
      <c r="A17" s="119">
        <v>8</v>
      </c>
      <c r="B17" s="120" t="s">
        <v>40</v>
      </c>
      <c r="C17" s="121" t="s">
        <v>41</v>
      </c>
      <c r="D17" s="119" t="s">
        <v>42</v>
      </c>
      <c r="E17" s="123">
        <v>44231</v>
      </c>
      <c r="F17" s="118"/>
      <c r="G17" s="13" t="s">
        <v>19</v>
      </c>
      <c r="H17" s="76"/>
      <c r="I17" s="7">
        <f>ROUND(9996*70%,2)</f>
        <v>6997.2</v>
      </c>
      <c r="J17" s="7"/>
      <c r="K17" s="4" t="s">
        <v>43</v>
      </c>
      <c r="L17" s="18">
        <v>44487</v>
      </c>
      <c r="M17" s="30">
        <f t="shared" si="1"/>
        <v>6997.2</v>
      </c>
      <c r="N17" s="30" t="str">
        <f t="shared" si="0"/>
        <v/>
      </c>
      <c r="O17" s="8"/>
    </row>
    <row r="18" spans="1:15" ht="20.399999999999999" customHeight="1" x14ac:dyDescent="0.25">
      <c r="A18" s="119"/>
      <c r="B18" s="120"/>
      <c r="C18" s="121"/>
      <c r="D18" s="119"/>
      <c r="E18" s="123"/>
      <c r="F18" s="118"/>
      <c r="G18" s="13" t="s">
        <v>21</v>
      </c>
      <c r="H18" s="76"/>
      <c r="I18" s="7">
        <f>ROUND(9996*30%,2)</f>
        <v>2998.8</v>
      </c>
      <c r="J18" s="7"/>
      <c r="K18" s="4" t="s">
        <v>44</v>
      </c>
      <c r="L18" s="22">
        <v>45963</v>
      </c>
      <c r="M18" s="30" t="str">
        <f t="shared" si="1"/>
        <v/>
      </c>
      <c r="N18" s="30">
        <f t="shared" si="0"/>
        <v>2998.8</v>
      </c>
      <c r="O18" s="8"/>
    </row>
    <row r="19" spans="1:15" ht="33" customHeight="1" x14ac:dyDescent="0.25">
      <c r="A19" s="9">
        <v>9</v>
      </c>
      <c r="B19" s="10" t="s">
        <v>45</v>
      </c>
      <c r="C19" s="11" t="s">
        <v>46</v>
      </c>
      <c r="D19" s="12" t="s">
        <v>47</v>
      </c>
      <c r="E19" s="13" t="s">
        <v>48</v>
      </c>
      <c r="F19" s="24"/>
      <c r="G19" s="13"/>
      <c r="H19" s="76"/>
      <c r="I19" s="7">
        <v>11960.89</v>
      </c>
      <c r="J19" s="7"/>
      <c r="K19" s="4" t="s">
        <v>49</v>
      </c>
      <c r="L19" s="18">
        <v>45489</v>
      </c>
      <c r="M19" s="30">
        <f t="shared" si="1"/>
        <v>11960.89</v>
      </c>
      <c r="N19" s="30" t="str">
        <f t="shared" si="0"/>
        <v/>
      </c>
      <c r="O19" s="5"/>
    </row>
    <row r="20" spans="1:15" ht="20.399999999999999" customHeight="1" x14ac:dyDescent="0.25">
      <c r="A20" s="142">
        <v>10</v>
      </c>
      <c r="B20" s="144" t="s">
        <v>50</v>
      </c>
      <c r="C20" s="121" t="s">
        <v>51</v>
      </c>
      <c r="D20" s="119" t="s">
        <v>52</v>
      </c>
      <c r="E20" s="123">
        <v>44426</v>
      </c>
      <c r="F20" s="118"/>
      <c r="G20" s="13"/>
      <c r="H20" s="76"/>
      <c r="I20" s="7">
        <f>ROUND(5539.92*70%,2)</f>
        <v>3877.94</v>
      </c>
      <c r="J20" s="7"/>
      <c r="K20" s="4" t="s">
        <v>53</v>
      </c>
      <c r="L20" s="18">
        <v>44515</v>
      </c>
      <c r="M20" s="30">
        <f t="shared" si="1"/>
        <v>3877.94</v>
      </c>
      <c r="N20" s="30" t="str">
        <f t="shared" si="0"/>
        <v/>
      </c>
      <c r="O20" s="8"/>
    </row>
    <row r="21" spans="1:15" ht="20.399999999999999" customHeight="1" thickBot="1" x14ac:dyDescent="0.3">
      <c r="A21" s="143"/>
      <c r="B21" s="145"/>
      <c r="C21" s="146"/>
      <c r="D21" s="147"/>
      <c r="E21" s="148"/>
      <c r="F21" s="149"/>
      <c r="G21" s="79"/>
      <c r="H21" s="79"/>
      <c r="I21" s="7">
        <f>ROUND(5539.92*30%,2)</f>
        <v>1661.98</v>
      </c>
      <c r="J21" s="82"/>
      <c r="K21" s="83" t="s">
        <v>54</v>
      </c>
      <c r="L21" s="84">
        <v>45595</v>
      </c>
      <c r="M21" s="30">
        <f>IF(L21&gt;$J$1-1,"",I21)</f>
        <v>1661.98</v>
      </c>
      <c r="N21" s="85" t="str">
        <f t="shared" ref="N21:N52" si="2">IF(L21&lt;$J$1,"",I21)</f>
        <v/>
      </c>
      <c r="O21" s="8"/>
    </row>
    <row r="22" spans="1:15" ht="21" customHeight="1" x14ac:dyDescent="0.25">
      <c r="A22" s="124">
        <v>11</v>
      </c>
      <c r="B22" s="136" t="s">
        <v>55</v>
      </c>
      <c r="C22" s="138" t="s">
        <v>56</v>
      </c>
      <c r="D22" s="140" t="s">
        <v>57</v>
      </c>
      <c r="E22" s="132">
        <v>44470</v>
      </c>
      <c r="F22" s="134"/>
      <c r="G22" s="93"/>
      <c r="H22" s="93"/>
      <c r="I22" s="94">
        <f>ROUND(4302.35*70%,2)</f>
        <v>3011.65</v>
      </c>
      <c r="J22" s="94"/>
      <c r="K22" s="95" t="s">
        <v>58</v>
      </c>
      <c r="L22" s="101">
        <v>44504</v>
      </c>
      <c r="M22" s="30">
        <f t="shared" si="1"/>
        <v>3011.65</v>
      </c>
      <c r="N22" s="97" t="str">
        <f t="shared" si="2"/>
        <v/>
      </c>
      <c r="O22" s="5"/>
    </row>
    <row r="23" spans="1:15" ht="21" customHeight="1" thickBot="1" x14ac:dyDescent="0.3">
      <c r="A23" s="125"/>
      <c r="B23" s="137"/>
      <c r="C23" s="139"/>
      <c r="D23" s="141"/>
      <c r="E23" s="133"/>
      <c r="F23" s="135"/>
      <c r="G23" s="98"/>
      <c r="H23" s="98"/>
      <c r="I23" s="89">
        <f>ROUND(4302.35*30%,2)-0.01</f>
        <v>1290.7</v>
      </c>
      <c r="J23" s="99"/>
      <c r="K23" s="100" t="s">
        <v>59</v>
      </c>
      <c r="L23" s="102">
        <v>45600</v>
      </c>
      <c r="M23" s="30">
        <f t="shared" si="1"/>
        <v>1290.7</v>
      </c>
      <c r="N23" s="103" t="str">
        <f t="shared" si="2"/>
        <v/>
      </c>
      <c r="O23" s="5"/>
    </row>
    <row r="24" spans="1:15" ht="21" customHeight="1" x14ac:dyDescent="0.25">
      <c r="A24" s="124">
        <v>12</v>
      </c>
      <c r="B24" s="126" t="s">
        <v>60</v>
      </c>
      <c r="C24" s="128" t="s">
        <v>11</v>
      </c>
      <c r="D24" s="130" t="s">
        <v>116</v>
      </c>
      <c r="E24" s="132" t="s">
        <v>61</v>
      </c>
      <c r="F24" s="134"/>
      <c r="G24" s="93"/>
      <c r="H24" s="93"/>
      <c r="I24" s="94">
        <f>ROUND(10605.4*70%,2)</f>
        <v>7423.78</v>
      </c>
      <c r="J24" s="94"/>
      <c r="K24" s="95" t="s">
        <v>62</v>
      </c>
      <c r="L24" s="96">
        <v>45565</v>
      </c>
      <c r="M24" s="30">
        <f t="shared" si="1"/>
        <v>7423.78</v>
      </c>
      <c r="N24" s="97" t="str">
        <f t="shared" si="2"/>
        <v/>
      </c>
      <c r="O24" s="5"/>
    </row>
    <row r="25" spans="1:15" ht="21" customHeight="1" thickBot="1" x14ac:dyDescent="0.3">
      <c r="A25" s="125"/>
      <c r="B25" s="127"/>
      <c r="C25" s="129"/>
      <c r="D25" s="131"/>
      <c r="E25" s="133"/>
      <c r="F25" s="135"/>
      <c r="G25" s="98"/>
      <c r="H25" s="98"/>
      <c r="I25" s="99">
        <f>ROUND(10605.4*30%,2)</f>
        <v>3181.62</v>
      </c>
      <c r="J25" s="99"/>
      <c r="K25" s="100" t="s">
        <v>63</v>
      </c>
      <c r="L25" s="104">
        <v>45930</v>
      </c>
      <c r="M25" s="30" t="str">
        <f t="shared" si="1"/>
        <v/>
      </c>
      <c r="N25" s="103">
        <f>IF(L25&lt;$J$1,"",I25)</f>
        <v>3181.62</v>
      </c>
      <c r="O25" s="77"/>
    </row>
    <row r="26" spans="1:15" ht="21" customHeight="1" x14ac:dyDescent="0.25">
      <c r="A26" s="78">
        <v>13</v>
      </c>
      <c r="B26" s="86" t="s">
        <v>64</v>
      </c>
      <c r="C26" s="87" t="s">
        <v>41</v>
      </c>
      <c r="D26" s="88" t="s">
        <v>65</v>
      </c>
      <c r="E26" s="80">
        <v>44635</v>
      </c>
      <c r="F26" s="81"/>
      <c r="G26" s="80"/>
      <c r="H26" s="80"/>
      <c r="I26" s="89">
        <v>9890</v>
      </c>
      <c r="J26" s="89"/>
      <c r="K26" s="90" t="s">
        <v>66</v>
      </c>
      <c r="L26" s="91">
        <v>45565</v>
      </c>
      <c r="M26" s="30">
        <f t="shared" si="1"/>
        <v>9890</v>
      </c>
      <c r="N26" s="92" t="str">
        <f t="shared" si="2"/>
        <v/>
      </c>
      <c r="O26" s="5"/>
    </row>
    <row r="27" spans="1:15" ht="21" customHeight="1" x14ac:dyDescent="0.25">
      <c r="A27" s="12">
        <v>14</v>
      </c>
      <c r="B27" s="10" t="s">
        <v>67</v>
      </c>
      <c r="C27" s="14" t="s">
        <v>68</v>
      </c>
      <c r="D27" s="15" t="s">
        <v>69</v>
      </c>
      <c r="E27" s="13">
        <v>44722</v>
      </c>
      <c r="F27" s="24"/>
      <c r="G27" s="13"/>
      <c r="H27" s="76"/>
      <c r="I27" s="7">
        <v>191145</v>
      </c>
      <c r="J27" s="7"/>
      <c r="K27" s="4" t="s">
        <v>70</v>
      </c>
      <c r="L27" s="22">
        <v>46194</v>
      </c>
      <c r="M27" s="30" t="str">
        <f t="shared" si="1"/>
        <v/>
      </c>
      <c r="N27" s="30">
        <f t="shared" si="2"/>
        <v>191145</v>
      </c>
      <c r="O27" s="5"/>
    </row>
    <row r="28" spans="1:15" ht="21" customHeight="1" x14ac:dyDescent="0.25">
      <c r="A28" s="119">
        <v>15</v>
      </c>
      <c r="B28" s="120" t="s">
        <v>71</v>
      </c>
      <c r="C28" s="121" t="s">
        <v>46</v>
      </c>
      <c r="D28" s="122" t="s">
        <v>72</v>
      </c>
      <c r="E28" s="123" t="s">
        <v>73</v>
      </c>
      <c r="F28" s="118"/>
      <c r="G28" s="13"/>
      <c r="H28" s="76"/>
      <c r="I28" s="7">
        <f>ROUND(26800*70%,2)</f>
        <v>18760</v>
      </c>
      <c r="J28" s="7"/>
      <c r="K28" s="4" t="s">
        <v>74</v>
      </c>
      <c r="L28" s="18">
        <v>45056</v>
      </c>
      <c r="M28" s="30">
        <f t="shared" si="1"/>
        <v>18760</v>
      </c>
      <c r="N28" s="30" t="str">
        <f t="shared" si="2"/>
        <v/>
      </c>
      <c r="O28" s="5"/>
    </row>
    <row r="29" spans="1:15" ht="21" customHeight="1" x14ac:dyDescent="0.25">
      <c r="A29" s="119"/>
      <c r="B29" s="120"/>
      <c r="C29" s="121"/>
      <c r="D29" s="122"/>
      <c r="E29" s="123"/>
      <c r="F29" s="118"/>
      <c r="G29" s="13"/>
      <c r="H29" s="76"/>
      <c r="I29" s="7">
        <f>ROUND(26800*30%,2)</f>
        <v>8040</v>
      </c>
      <c r="J29" s="7"/>
      <c r="K29" s="4" t="s">
        <v>75</v>
      </c>
      <c r="L29" s="22">
        <v>46899</v>
      </c>
      <c r="M29" s="30" t="str">
        <f t="shared" si="1"/>
        <v/>
      </c>
      <c r="N29" s="30">
        <f t="shared" si="2"/>
        <v>8040</v>
      </c>
      <c r="O29" s="5"/>
    </row>
    <row r="30" spans="1:15" ht="21" customHeight="1" x14ac:dyDescent="0.25">
      <c r="A30" s="119">
        <v>16</v>
      </c>
      <c r="B30" s="120" t="s">
        <v>76</v>
      </c>
      <c r="C30" s="121" t="s">
        <v>22</v>
      </c>
      <c r="D30" s="122" t="s">
        <v>77</v>
      </c>
      <c r="E30" s="123">
        <v>44830</v>
      </c>
      <c r="F30" s="118"/>
      <c r="G30" s="13"/>
      <c r="H30" s="76"/>
      <c r="I30" s="7">
        <f>ROUND(13422.38*70%,2)</f>
        <v>9395.67</v>
      </c>
      <c r="J30" s="7"/>
      <c r="K30" s="4" t="s">
        <v>78</v>
      </c>
      <c r="L30" s="18">
        <v>44935</v>
      </c>
      <c r="M30" s="30">
        <f t="shared" si="1"/>
        <v>9395.67</v>
      </c>
      <c r="N30" s="30" t="str">
        <f t="shared" si="2"/>
        <v/>
      </c>
      <c r="O30" s="5"/>
    </row>
    <row r="31" spans="1:15" ht="21" customHeight="1" x14ac:dyDescent="0.25">
      <c r="A31" s="119"/>
      <c r="B31" s="120"/>
      <c r="C31" s="121"/>
      <c r="D31" s="122"/>
      <c r="E31" s="123"/>
      <c r="F31" s="118"/>
      <c r="G31" s="13"/>
      <c r="H31" s="76"/>
      <c r="I31" s="7">
        <f>ROUND(13422.38*30%,2)</f>
        <v>4026.71</v>
      </c>
      <c r="J31" s="7"/>
      <c r="K31" s="4" t="s">
        <v>79</v>
      </c>
      <c r="L31" s="22">
        <v>46031</v>
      </c>
      <c r="M31" s="30" t="str">
        <f t="shared" si="1"/>
        <v/>
      </c>
      <c r="N31" s="30">
        <f t="shared" si="2"/>
        <v>4026.71</v>
      </c>
      <c r="O31" s="5"/>
    </row>
    <row r="32" spans="1:15" ht="21" customHeight="1" x14ac:dyDescent="0.25">
      <c r="A32" s="119">
        <v>17</v>
      </c>
      <c r="B32" s="120" t="s">
        <v>80</v>
      </c>
      <c r="C32" s="121" t="s">
        <v>16</v>
      </c>
      <c r="D32" s="122" t="s">
        <v>81</v>
      </c>
      <c r="E32" s="123">
        <v>44853</v>
      </c>
      <c r="F32" s="118"/>
      <c r="G32" s="13"/>
      <c r="H32" s="76"/>
      <c r="I32" s="7">
        <f>ROUND(14760*70%,2)</f>
        <v>10332</v>
      </c>
      <c r="J32" s="7"/>
      <c r="K32" s="4" t="s">
        <v>82</v>
      </c>
      <c r="L32" s="18">
        <v>44935</v>
      </c>
      <c r="M32" s="30">
        <f t="shared" si="1"/>
        <v>10332</v>
      </c>
      <c r="N32" s="30" t="str">
        <f t="shared" si="2"/>
        <v/>
      </c>
      <c r="O32" s="77"/>
    </row>
    <row r="33" spans="1:15" ht="21" customHeight="1" x14ac:dyDescent="0.25">
      <c r="A33" s="119"/>
      <c r="B33" s="120"/>
      <c r="C33" s="121"/>
      <c r="D33" s="122"/>
      <c r="E33" s="123"/>
      <c r="F33" s="118"/>
      <c r="G33" s="13"/>
      <c r="H33" s="76"/>
      <c r="I33" s="7">
        <f>ROUND(14760*30%,2)</f>
        <v>4428</v>
      </c>
      <c r="J33" s="7"/>
      <c r="K33" s="4" t="s">
        <v>79</v>
      </c>
      <c r="L33" s="22">
        <v>46031</v>
      </c>
      <c r="M33" s="30" t="str">
        <f t="shared" si="1"/>
        <v/>
      </c>
      <c r="N33" s="30">
        <f t="shared" si="2"/>
        <v>4428</v>
      </c>
      <c r="O33" s="5"/>
    </row>
    <row r="34" spans="1:15" ht="21" customHeight="1" x14ac:dyDescent="0.25">
      <c r="A34" s="119">
        <v>18</v>
      </c>
      <c r="B34" s="120" t="s">
        <v>76</v>
      </c>
      <c r="C34" s="121" t="s">
        <v>11</v>
      </c>
      <c r="D34" s="122" t="s">
        <v>83</v>
      </c>
      <c r="E34" s="123">
        <v>44960</v>
      </c>
      <c r="F34" s="118"/>
      <c r="G34" s="13"/>
      <c r="H34" s="76"/>
      <c r="I34" s="7">
        <f>ROUND(17700*70%,2)</f>
        <v>12390</v>
      </c>
      <c r="J34" s="7"/>
      <c r="K34" s="4" t="s">
        <v>84</v>
      </c>
      <c r="L34" s="18">
        <v>45035</v>
      </c>
      <c r="M34" s="30">
        <f t="shared" si="1"/>
        <v>12390</v>
      </c>
      <c r="N34" s="30" t="str">
        <f t="shared" si="2"/>
        <v/>
      </c>
      <c r="O34" s="8"/>
    </row>
    <row r="35" spans="1:15" ht="21" customHeight="1" x14ac:dyDescent="0.25">
      <c r="A35" s="119"/>
      <c r="B35" s="120"/>
      <c r="C35" s="121"/>
      <c r="D35" s="122"/>
      <c r="E35" s="123"/>
      <c r="F35" s="118"/>
      <c r="G35" s="13"/>
      <c r="H35" s="76"/>
      <c r="I35" s="7">
        <f>ROUND(17700*30%,2)</f>
        <v>5310</v>
      </c>
      <c r="J35" s="7"/>
      <c r="K35" s="4" t="s">
        <v>85</v>
      </c>
      <c r="L35" s="22">
        <v>46481</v>
      </c>
      <c r="M35" s="30" t="str">
        <f t="shared" si="1"/>
        <v/>
      </c>
      <c r="N35" s="30">
        <f t="shared" si="2"/>
        <v>5310</v>
      </c>
      <c r="O35" s="8"/>
    </row>
    <row r="36" spans="1:15" ht="33" customHeight="1" x14ac:dyDescent="0.25">
      <c r="A36" s="12">
        <v>19</v>
      </c>
      <c r="B36" s="10" t="s">
        <v>86</v>
      </c>
      <c r="C36" s="11" t="s">
        <v>87</v>
      </c>
      <c r="D36" s="15" t="s">
        <v>88</v>
      </c>
      <c r="E36" s="13">
        <v>44952</v>
      </c>
      <c r="F36" s="24"/>
      <c r="G36" s="13"/>
      <c r="H36" s="76"/>
      <c r="I36" s="7">
        <v>28540</v>
      </c>
      <c r="J36" s="7"/>
      <c r="K36" s="4" t="s">
        <v>89</v>
      </c>
      <c r="L36" s="22">
        <v>45792</v>
      </c>
      <c r="M36" s="30">
        <f t="shared" si="1"/>
        <v>28540</v>
      </c>
      <c r="N36" s="30" t="str">
        <f t="shared" si="2"/>
        <v/>
      </c>
      <c r="O36" s="5"/>
    </row>
    <row r="37" spans="1:15" ht="21" customHeight="1" x14ac:dyDescent="0.25">
      <c r="A37" s="119">
        <v>20</v>
      </c>
      <c r="B37" s="120" t="s">
        <v>90</v>
      </c>
      <c r="C37" s="121" t="s">
        <v>56</v>
      </c>
      <c r="D37" s="122" t="s">
        <v>91</v>
      </c>
      <c r="E37" s="123">
        <v>45014</v>
      </c>
      <c r="F37" s="118"/>
      <c r="G37" s="13"/>
      <c r="H37" s="76"/>
      <c r="I37" s="7">
        <f>ROUND(8449.61*70%,2)</f>
        <v>5914.73</v>
      </c>
      <c r="J37" s="7"/>
      <c r="K37" s="4" t="s">
        <v>92</v>
      </c>
      <c r="L37" s="18">
        <v>45280</v>
      </c>
      <c r="M37" s="30">
        <f t="shared" si="1"/>
        <v>5914.73</v>
      </c>
      <c r="N37" s="30" t="str">
        <f t="shared" si="2"/>
        <v/>
      </c>
      <c r="O37" s="5"/>
    </row>
    <row r="38" spans="1:15" ht="21" customHeight="1" x14ac:dyDescent="0.25">
      <c r="A38" s="119"/>
      <c r="B38" s="120"/>
      <c r="C38" s="121"/>
      <c r="D38" s="122"/>
      <c r="E38" s="123"/>
      <c r="F38" s="118"/>
      <c r="G38" s="13"/>
      <c r="H38" s="76"/>
      <c r="I38" s="7">
        <f>ROUND(8449.61*30%,2)</f>
        <v>2534.88</v>
      </c>
      <c r="J38" s="7"/>
      <c r="K38" s="4" t="s">
        <v>93</v>
      </c>
      <c r="L38" s="22">
        <v>46011</v>
      </c>
      <c r="M38" s="30" t="str">
        <f t="shared" si="1"/>
        <v/>
      </c>
      <c r="N38" s="30">
        <f t="shared" si="2"/>
        <v>2534.88</v>
      </c>
      <c r="O38" s="5"/>
    </row>
    <row r="39" spans="1:15" ht="21" customHeight="1" x14ac:dyDescent="0.25">
      <c r="A39" s="119">
        <v>21</v>
      </c>
      <c r="B39" s="120" t="s">
        <v>94</v>
      </c>
      <c r="C39" s="121" t="s">
        <v>95</v>
      </c>
      <c r="D39" s="122" t="s">
        <v>96</v>
      </c>
      <c r="E39" s="123">
        <v>45020</v>
      </c>
      <c r="F39" s="118"/>
      <c r="G39" s="13"/>
      <c r="H39" s="76"/>
      <c r="I39" s="7">
        <f>ROUND(12054*70%,2)</f>
        <v>8437.7999999999993</v>
      </c>
      <c r="J39" s="7"/>
      <c r="K39" s="4" t="s">
        <v>97</v>
      </c>
      <c r="L39" s="18">
        <v>45061</v>
      </c>
      <c r="M39" s="30">
        <f t="shared" si="1"/>
        <v>8437.7999999999993</v>
      </c>
      <c r="N39" s="30" t="str">
        <f t="shared" si="2"/>
        <v/>
      </c>
      <c r="O39" s="5"/>
    </row>
    <row r="40" spans="1:15" ht="21" customHeight="1" x14ac:dyDescent="0.25">
      <c r="A40" s="119"/>
      <c r="B40" s="120"/>
      <c r="C40" s="121"/>
      <c r="D40" s="122"/>
      <c r="E40" s="123"/>
      <c r="F40" s="118"/>
      <c r="G40" s="13"/>
      <c r="H40" s="76"/>
      <c r="I40" s="7">
        <f>ROUND(12054*30%,2)</f>
        <v>3616.2</v>
      </c>
      <c r="J40" s="7"/>
      <c r="K40" s="4" t="s">
        <v>98</v>
      </c>
      <c r="L40" s="22">
        <v>45807</v>
      </c>
      <c r="M40" s="30">
        <f t="shared" si="1"/>
        <v>3616.2</v>
      </c>
      <c r="N40" s="30" t="str">
        <f t="shared" si="2"/>
        <v/>
      </c>
      <c r="O40" s="5"/>
    </row>
    <row r="41" spans="1:15" ht="21" customHeight="1" x14ac:dyDescent="0.25">
      <c r="A41" s="119">
        <v>22</v>
      </c>
      <c r="B41" s="120" t="s">
        <v>86</v>
      </c>
      <c r="C41" s="121" t="s">
        <v>87</v>
      </c>
      <c r="D41" s="122" t="s">
        <v>99</v>
      </c>
      <c r="E41" s="123">
        <v>45057</v>
      </c>
      <c r="F41" s="118"/>
      <c r="G41" s="13"/>
      <c r="H41" s="76"/>
      <c r="I41" s="7">
        <f>ROUND(12500.04*70%,2)</f>
        <v>8750.0300000000007</v>
      </c>
      <c r="J41" s="7"/>
      <c r="K41" s="4" t="s">
        <v>100</v>
      </c>
      <c r="L41" s="18">
        <v>45073</v>
      </c>
      <c r="M41" s="30">
        <f t="shared" si="1"/>
        <v>8750.0300000000007</v>
      </c>
      <c r="N41" s="30" t="str">
        <f t="shared" si="2"/>
        <v/>
      </c>
      <c r="O41" s="5"/>
    </row>
    <row r="42" spans="1:15" ht="21" customHeight="1" x14ac:dyDescent="0.25">
      <c r="A42" s="119"/>
      <c r="B42" s="120"/>
      <c r="C42" s="121"/>
      <c r="D42" s="122"/>
      <c r="E42" s="123"/>
      <c r="F42" s="118"/>
      <c r="G42" s="13"/>
      <c r="H42" s="76"/>
      <c r="I42" s="7">
        <f>ROUND(12500.04*30%,2)</f>
        <v>3750.01</v>
      </c>
      <c r="J42" s="7"/>
      <c r="K42" s="4" t="s">
        <v>101</v>
      </c>
      <c r="L42" s="22">
        <v>45805</v>
      </c>
      <c r="M42" s="30">
        <f t="shared" si="1"/>
        <v>3750.01</v>
      </c>
      <c r="N42" s="30" t="str">
        <f t="shared" si="2"/>
        <v/>
      </c>
      <c r="O42" s="5"/>
    </row>
    <row r="43" spans="1:15" ht="21" customHeight="1" x14ac:dyDescent="0.25">
      <c r="A43" s="119">
        <v>23</v>
      </c>
      <c r="B43" s="120" t="s">
        <v>102</v>
      </c>
      <c r="C43" s="121" t="s">
        <v>103</v>
      </c>
      <c r="D43" s="122" t="s">
        <v>138</v>
      </c>
      <c r="E43" s="123" t="s">
        <v>137</v>
      </c>
      <c r="F43" s="118"/>
      <c r="G43" s="13"/>
      <c r="H43" s="76"/>
      <c r="I43" s="7">
        <f>ROUND(57400*70%,2)</f>
        <v>40180</v>
      </c>
      <c r="J43" s="7"/>
      <c r="K43" s="4" t="s">
        <v>104</v>
      </c>
      <c r="L43" s="18">
        <v>45106</v>
      </c>
      <c r="M43" s="30">
        <f t="shared" si="1"/>
        <v>40180</v>
      </c>
      <c r="N43" s="30" t="str">
        <f t="shared" si="2"/>
        <v/>
      </c>
      <c r="O43" s="5"/>
    </row>
    <row r="44" spans="1:15" ht="21" customHeight="1" x14ac:dyDescent="0.25">
      <c r="A44" s="119"/>
      <c r="B44" s="120"/>
      <c r="C44" s="121"/>
      <c r="D44" s="122"/>
      <c r="E44" s="123"/>
      <c r="F44" s="118"/>
      <c r="G44" s="13"/>
      <c r="H44" s="76"/>
      <c r="I44" s="7">
        <f>ROUND(71288.13*30%,2)</f>
        <v>21386.44</v>
      </c>
      <c r="J44" s="7"/>
      <c r="K44" s="4" t="s">
        <v>139</v>
      </c>
      <c r="L44" s="22">
        <v>46376</v>
      </c>
      <c r="M44" s="30" t="str">
        <f t="shared" si="1"/>
        <v/>
      </c>
      <c r="N44" s="30">
        <f t="shared" si="2"/>
        <v>21386.44</v>
      </c>
      <c r="O44" s="5"/>
    </row>
    <row r="45" spans="1:15" ht="21" customHeight="1" x14ac:dyDescent="0.25">
      <c r="A45" s="119">
        <v>24</v>
      </c>
      <c r="B45" s="120" t="s">
        <v>105</v>
      </c>
      <c r="C45" s="121" t="s">
        <v>22</v>
      </c>
      <c r="D45" s="122" t="s">
        <v>106</v>
      </c>
      <c r="E45" s="123" t="s">
        <v>140</v>
      </c>
      <c r="F45" s="118"/>
      <c r="G45" s="13"/>
      <c r="H45" s="76"/>
      <c r="I45" s="7">
        <f>ROUND(19180*70%,2)</f>
        <v>13426</v>
      </c>
      <c r="J45" s="7"/>
      <c r="K45" s="4" t="s">
        <v>141</v>
      </c>
      <c r="L45" s="18">
        <v>45229</v>
      </c>
      <c r="M45" s="30">
        <f t="shared" si="1"/>
        <v>13426</v>
      </c>
      <c r="N45" s="30" t="str">
        <f t="shared" si="2"/>
        <v/>
      </c>
      <c r="O45" s="5"/>
    </row>
    <row r="46" spans="1:15" ht="21" customHeight="1" x14ac:dyDescent="0.25">
      <c r="A46" s="119"/>
      <c r="B46" s="120"/>
      <c r="C46" s="121"/>
      <c r="D46" s="122"/>
      <c r="E46" s="123"/>
      <c r="F46" s="118"/>
      <c r="G46" s="13"/>
      <c r="H46" s="76"/>
      <c r="I46" s="7">
        <f>ROUND(19180*30%,2)</f>
        <v>5754</v>
      </c>
      <c r="J46" s="7"/>
      <c r="K46" s="4" t="s">
        <v>142</v>
      </c>
      <c r="L46" s="22">
        <v>46356</v>
      </c>
      <c r="M46" s="30" t="str">
        <f t="shared" si="1"/>
        <v/>
      </c>
      <c r="N46" s="30">
        <f t="shared" si="2"/>
        <v>5754</v>
      </c>
      <c r="O46" s="5"/>
    </row>
    <row r="47" spans="1:15" ht="21" customHeight="1" x14ac:dyDescent="0.25">
      <c r="A47" s="119">
        <v>25</v>
      </c>
      <c r="B47" s="120" t="s">
        <v>107</v>
      </c>
      <c r="C47" s="121" t="s">
        <v>41</v>
      </c>
      <c r="D47" s="122" t="s">
        <v>108</v>
      </c>
      <c r="E47" s="123">
        <v>45127</v>
      </c>
      <c r="F47" s="118"/>
      <c r="G47" s="13"/>
      <c r="H47" s="76"/>
      <c r="I47" s="7">
        <f>ROUND(8512.2*70%,2)</f>
        <v>5958.54</v>
      </c>
      <c r="J47" s="7"/>
      <c r="K47" s="4" t="s">
        <v>109</v>
      </c>
      <c r="L47" s="18">
        <v>45249</v>
      </c>
      <c r="M47" s="30">
        <f t="shared" si="1"/>
        <v>5958.54</v>
      </c>
      <c r="N47" s="30" t="str">
        <f t="shared" si="2"/>
        <v/>
      </c>
      <c r="O47" s="8"/>
    </row>
    <row r="48" spans="1:15" ht="21" customHeight="1" x14ac:dyDescent="0.25">
      <c r="A48" s="119"/>
      <c r="B48" s="120"/>
      <c r="C48" s="121"/>
      <c r="D48" s="122"/>
      <c r="E48" s="123"/>
      <c r="F48" s="118"/>
      <c r="G48" s="13"/>
      <c r="H48" s="76"/>
      <c r="I48" s="7">
        <f>ROUND(8512.2*30%,2)</f>
        <v>2553.66</v>
      </c>
      <c r="J48" s="7"/>
      <c r="K48" s="4" t="s">
        <v>110</v>
      </c>
      <c r="L48" s="22">
        <v>45964</v>
      </c>
      <c r="M48" s="30" t="str">
        <f t="shared" si="1"/>
        <v/>
      </c>
      <c r="N48" s="30">
        <f t="shared" si="2"/>
        <v>2553.66</v>
      </c>
      <c r="O48" s="8"/>
    </row>
    <row r="49" spans="1:15" ht="36.6" customHeight="1" x14ac:dyDescent="0.25">
      <c r="A49" s="12">
        <v>26</v>
      </c>
      <c r="B49" s="10" t="s">
        <v>55</v>
      </c>
      <c r="C49" s="11" t="s">
        <v>56</v>
      </c>
      <c r="D49" s="15" t="s">
        <v>111</v>
      </c>
      <c r="E49" s="13">
        <v>45126</v>
      </c>
      <c r="F49" s="24"/>
      <c r="G49" s="13"/>
      <c r="H49" s="76"/>
      <c r="I49" s="7">
        <v>7014.3</v>
      </c>
      <c r="J49" s="7"/>
      <c r="K49" s="4" t="s">
        <v>112</v>
      </c>
      <c r="L49" s="22">
        <v>45565</v>
      </c>
      <c r="M49" s="30">
        <f t="shared" si="1"/>
        <v>7014.3</v>
      </c>
      <c r="N49" s="30" t="str">
        <f t="shared" si="2"/>
        <v/>
      </c>
      <c r="O49" s="5"/>
    </row>
    <row r="50" spans="1:15" ht="36.6" customHeight="1" x14ac:dyDescent="0.25">
      <c r="A50" s="37">
        <v>27</v>
      </c>
      <c r="B50" s="75" t="s">
        <v>55</v>
      </c>
      <c r="C50" s="39" t="s">
        <v>56</v>
      </c>
      <c r="D50" s="41" t="s">
        <v>134</v>
      </c>
      <c r="E50" s="38">
        <v>45139</v>
      </c>
      <c r="F50" s="40"/>
      <c r="G50" s="38"/>
      <c r="H50" s="76"/>
      <c r="I50" s="7">
        <v>4797</v>
      </c>
      <c r="J50" s="7"/>
      <c r="K50" s="4" t="s">
        <v>130</v>
      </c>
      <c r="L50" s="18">
        <v>45309</v>
      </c>
      <c r="M50" s="30">
        <f t="shared" si="1"/>
        <v>4797</v>
      </c>
      <c r="N50" s="30" t="str">
        <f t="shared" si="2"/>
        <v/>
      </c>
      <c r="O50" s="5"/>
    </row>
    <row r="51" spans="1:15" ht="22.5" customHeight="1" x14ac:dyDescent="0.25">
      <c r="A51" s="147">
        <v>28</v>
      </c>
      <c r="B51" s="152" t="s">
        <v>131</v>
      </c>
      <c r="C51" s="146" t="s">
        <v>135</v>
      </c>
      <c r="D51" s="152" t="s">
        <v>136</v>
      </c>
      <c r="E51" s="148">
        <v>45219</v>
      </c>
      <c r="F51" s="149"/>
      <c r="G51" s="38"/>
      <c r="H51" s="76"/>
      <c r="I51" s="7">
        <f>ROUND(7080*70%,2)</f>
        <v>4956</v>
      </c>
      <c r="J51" s="7"/>
      <c r="K51" s="4" t="s">
        <v>132</v>
      </c>
      <c r="L51" s="18">
        <v>45260</v>
      </c>
      <c r="M51" s="30">
        <f t="shared" si="1"/>
        <v>4956</v>
      </c>
      <c r="N51" s="30" t="str">
        <f t="shared" si="2"/>
        <v/>
      </c>
      <c r="O51" s="5"/>
    </row>
    <row r="52" spans="1:15" ht="22.5" customHeight="1" x14ac:dyDescent="0.25">
      <c r="A52" s="154"/>
      <c r="B52" s="153"/>
      <c r="C52" s="151"/>
      <c r="D52" s="153"/>
      <c r="E52" s="155"/>
      <c r="F52" s="156"/>
      <c r="G52" s="38"/>
      <c r="H52" s="76"/>
      <c r="I52" s="7">
        <f>ROUND(7080*30%,2)</f>
        <v>2124</v>
      </c>
      <c r="J52" s="7"/>
      <c r="K52" s="4" t="s">
        <v>133</v>
      </c>
      <c r="L52" s="22">
        <v>46387</v>
      </c>
      <c r="M52" s="30" t="str">
        <f t="shared" si="1"/>
        <v/>
      </c>
      <c r="N52" s="30">
        <f t="shared" si="2"/>
        <v>2124</v>
      </c>
      <c r="O52" s="5"/>
    </row>
    <row r="53" spans="1:15" ht="36.6" customHeight="1" x14ac:dyDescent="0.25">
      <c r="A53" s="108">
        <v>29</v>
      </c>
      <c r="B53" s="111" t="s">
        <v>55</v>
      </c>
      <c r="C53" s="110" t="s">
        <v>56</v>
      </c>
      <c r="D53" s="113" t="s">
        <v>134</v>
      </c>
      <c r="E53" s="109">
        <v>45404</v>
      </c>
      <c r="F53" s="112"/>
      <c r="G53" s="109"/>
      <c r="H53" s="109"/>
      <c r="I53" s="7">
        <v>4797</v>
      </c>
      <c r="J53" s="7"/>
      <c r="K53" s="4" t="s">
        <v>143</v>
      </c>
      <c r="L53" s="22">
        <v>45675</v>
      </c>
      <c r="M53" s="30">
        <f t="shared" si="1"/>
        <v>4797</v>
      </c>
      <c r="N53" s="30" t="str">
        <f t="shared" ref="N53:N55" si="3">IF(L53&lt;$J$1,"",I53)</f>
        <v/>
      </c>
      <c r="O53" s="5"/>
    </row>
    <row r="54" spans="1:15" ht="21" customHeight="1" x14ac:dyDescent="0.25">
      <c r="A54" s="119">
        <v>30</v>
      </c>
      <c r="B54" s="120" t="s">
        <v>55</v>
      </c>
      <c r="C54" s="121" t="s">
        <v>56</v>
      </c>
      <c r="D54" s="122" t="s">
        <v>144</v>
      </c>
      <c r="E54" s="123">
        <v>45433</v>
      </c>
      <c r="F54" s="118"/>
      <c r="G54" s="109"/>
      <c r="H54" s="109"/>
      <c r="I54" s="7">
        <f>ROUND(6360.4*70%,2)</f>
        <v>4452.28</v>
      </c>
      <c r="J54" s="7"/>
      <c r="K54" s="4" t="s">
        <v>145</v>
      </c>
      <c r="L54" s="22">
        <v>45675</v>
      </c>
      <c r="M54" s="30">
        <f>IF(L54&gt;$J$1-1,"",I54)</f>
        <v>4452.28</v>
      </c>
      <c r="N54" s="30" t="str">
        <f t="shared" si="3"/>
        <v/>
      </c>
      <c r="O54" s="8"/>
    </row>
    <row r="55" spans="1:15" ht="21" customHeight="1" x14ac:dyDescent="0.25">
      <c r="A55" s="119"/>
      <c r="B55" s="120"/>
      <c r="C55" s="121"/>
      <c r="D55" s="122"/>
      <c r="E55" s="123"/>
      <c r="F55" s="118"/>
      <c r="G55" s="109"/>
      <c r="H55" s="109"/>
      <c r="I55" s="7">
        <f>ROUND(6360.4*30%,2)</f>
        <v>1908.12</v>
      </c>
      <c r="J55" s="7"/>
      <c r="K55" s="4" t="s">
        <v>146</v>
      </c>
      <c r="L55" s="22">
        <v>46392</v>
      </c>
      <c r="M55" s="30" t="str">
        <f t="shared" si="1"/>
        <v/>
      </c>
      <c r="N55" s="30">
        <f t="shared" si="3"/>
        <v>1908.12</v>
      </c>
      <c r="O55" s="8"/>
    </row>
    <row r="56" spans="1:15" ht="21" customHeight="1" x14ac:dyDescent="0.25">
      <c r="A56" s="119">
        <v>31</v>
      </c>
      <c r="B56" s="120" t="s">
        <v>55</v>
      </c>
      <c r="C56" s="121" t="s">
        <v>56</v>
      </c>
      <c r="D56" s="122" t="s">
        <v>147</v>
      </c>
      <c r="E56" s="123">
        <v>45439</v>
      </c>
      <c r="F56" s="118"/>
      <c r="G56" s="109"/>
      <c r="H56" s="109"/>
      <c r="I56" s="7">
        <f>ROUND(5996.16*70%,2)</f>
        <v>4197.3100000000004</v>
      </c>
      <c r="J56" s="7"/>
      <c r="K56" s="4" t="s">
        <v>148</v>
      </c>
      <c r="L56" s="18">
        <v>45459</v>
      </c>
      <c r="M56" s="30">
        <f t="shared" si="1"/>
        <v>4197.3100000000004</v>
      </c>
      <c r="N56" s="30" t="str">
        <f t="shared" ref="N56:N57" si="4">IF(L56&lt;$J$1,"",I56)</f>
        <v/>
      </c>
      <c r="O56" s="8"/>
    </row>
    <row r="57" spans="1:15" ht="21" customHeight="1" x14ac:dyDescent="0.25">
      <c r="A57" s="119"/>
      <c r="B57" s="120"/>
      <c r="C57" s="121"/>
      <c r="D57" s="122"/>
      <c r="E57" s="123"/>
      <c r="F57" s="118"/>
      <c r="G57" s="109"/>
      <c r="H57" s="109"/>
      <c r="I57" s="7">
        <f>ROUND(5996.16*30%,2)</f>
        <v>1798.85</v>
      </c>
      <c r="J57" s="7"/>
      <c r="K57" s="4" t="s">
        <v>149</v>
      </c>
      <c r="L57" s="22">
        <v>45822</v>
      </c>
      <c r="M57" s="30">
        <f t="shared" si="1"/>
        <v>1798.85</v>
      </c>
      <c r="N57" s="30" t="str">
        <f t="shared" si="4"/>
        <v/>
      </c>
      <c r="O57" s="8"/>
    </row>
    <row r="58" spans="1:15" ht="21" customHeight="1" x14ac:dyDescent="0.25">
      <c r="A58" s="119">
        <v>32</v>
      </c>
      <c r="B58" s="120" t="s">
        <v>150</v>
      </c>
      <c r="C58" s="121" t="s">
        <v>151</v>
      </c>
      <c r="D58" s="122" t="s">
        <v>152</v>
      </c>
      <c r="E58" s="123">
        <v>45439</v>
      </c>
      <c r="F58" s="118"/>
      <c r="G58" s="109"/>
      <c r="H58" s="109"/>
      <c r="I58" s="7">
        <f>ROUND(7183.2*70%,2)</f>
        <v>5028.24</v>
      </c>
      <c r="J58" s="7"/>
      <c r="K58" s="4" t="s">
        <v>153</v>
      </c>
      <c r="L58" s="18">
        <v>45564</v>
      </c>
      <c r="M58" s="30">
        <f t="shared" si="1"/>
        <v>5028.24</v>
      </c>
      <c r="N58" s="30" t="str">
        <f t="shared" ref="N58:N60" si="5">IF(L58&lt;$J$1,"",I58)</f>
        <v/>
      </c>
      <c r="O58" s="8"/>
    </row>
    <row r="59" spans="1:15" ht="21" customHeight="1" x14ac:dyDescent="0.25">
      <c r="A59" s="119"/>
      <c r="B59" s="120"/>
      <c r="C59" s="121"/>
      <c r="D59" s="122"/>
      <c r="E59" s="123"/>
      <c r="F59" s="118"/>
      <c r="G59" s="109"/>
      <c r="H59" s="109"/>
      <c r="I59" s="7">
        <f>ROUND(7183.2*30%,2)</f>
        <v>2154.96</v>
      </c>
      <c r="J59" s="7"/>
      <c r="K59" s="4" t="s">
        <v>154</v>
      </c>
      <c r="L59" s="22">
        <v>46280</v>
      </c>
      <c r="M59" s="30" t="str">
        <f t="shared" si="1"/>
        <v/>
      </c>
      <c r="N59" s="30">
        <f t="shared" si="5"/>
        <v>2154.96</v>
      </c>
      <c r="O59" s="8"/>
    </row>
    <row r="60" spans="1:15" ht="36.6" customHeight="1" x14ac:dyDescent="0.25">
      <c r="A60" s="108">
        <v>33</v>
      </c>
      <c r="B60" s="111" t="s">
        <v>55</v>
      </c>
      <c r="C60" s="110" t="s">
        <v>56</v>
      </c>
      <c r="D60" s="113" t="s">
        <v>155</v>
      </c>
      <c r="E60" s="109">
        <v>45450</v>
      </c>
      <c r="F60" s="112"/>
      <c r="G60" s="109"/>
      <c r="H60" s="109"/>
      <c r="I60" s="7">
        <v>16036.63</v>
      </c>
      <c r="J60" s="7"/>
      <c r="K60" s="4" t="s">
        <v>156</v>
      </c>
      <c r="L60" s="22">
        <v>46052</v>
      </c>
      <c r="M60" s="30" t="str">
        <f t="shared" si="1"/>
        <v/>
      </c>
      <c r="N60" s="30">
        <f t="shared" si="5"/>
        <v>16036.63</v>
      </c>
      <c r="O60" s="5"/>
    </row>
    <row r="61" spans="1:15" ht="36.6" customHeight="1" x14ac:dyDescent="0.25">
      <c r="A61" s="108">
        <v>34</v>
      </c>
      <c r="B61" s="111" t="s">
        <v>60</v>
      </c>
      <c r="C61" s="110" t="s">
        <v>22</v>
      </c>
      <c r="D61" s="113" t="s">
        <v>157</v>
      </c>
      <c r="E61" s="109">
        <v>45565</v>
      </c>
      <c r="F61" s="112"/>
      <c r="G61" s="109"/>
      <c r="H61" s="109"/>
      <c r="I61" s="7">
        <v>13371.2</v>
      </c>
      <c r="J61" s="7"/>
      <c r="K61" s="4" t="s">
        <v>158</v>
      </c>
      <c r="L61" s="22">
        <v>46660</v>
      </c>
      <c r="M61" s="30" t="str">
        <f t="shared" si="1"/>
        <v/>
      </c>
      <c r="N61" s="30">
        <f t="shared" ref="N61:N63" si="6">IF(L61&lt;$J$1,"",I61)</f>
        <v>13371.2</v>
      </c>
      <c r="O61" s="5"/>
    </row>
    <row r="62" spans="1:15" ht="21" customHeight="1" x14ac:dyDescent="0.25">
      <c r="A62" s="119">
        <v>35</v>
      </c>
      <c r="B62" s="120" t="s">
        <v>159</v>
      </c>
      <c r="C62" s="146" t="s">
        <v>160</v>
      </c>
      <c r="D62" s="122" t="s">
        <v>161</v>
      </c>
      <c r="E62" s="123">
        <v>45573</v>
      </c>
      <c r="F62" s="118"/>
      <c r="G62" s="114"/>
      <c r="H62" s="114"/>
      <c r="I62" s="7">
        <f>ROUND(6600*70%,2)</f>
        <v>4620</v>
      </c>
      <c r="J62" s="7"/>
      <c r="K62" s="4" t="s">
        <v>162</v>
      </c>
      <c r="L62" s="18">
        <v>45687</v>
      </c>
      <c r="M62" s="30">
        <f t="shared" ref="M62:M63" si="7">IF(L62&gt;$J$1-1,"",I62)</f>
        <v>4620</v>
      </c>
      <c r="N62" s="30" t="str">
        <f t="shared" si="6"/>
        <v/>
      </c>
      <c r="O62" s="8"/>
    </row>
    <row r="63" spans="1:15" ht="21" customHeight="1" x14ac:dyDescent="0.25">
      <c r="A63" s="119"/>
      <c r="B63" s="120"/>
      <c r="C63" s="151"/>
      <c r="D63" s="122"/>
      <c r="E63" s="123"/>
      <c r="F63" s="118"/>
      <c r="G63" s="114"/>
      <c r="H63" s="114"/>
      <c r="I63" s="7">
        <f>ROUND(6600*30%,2)</f>
        <v>1980</v>
      </c>
      <c r="J63" s="7"/>
      <c r="K63" s="4" t="s">
        <v>163</v>
      </c>
      <c r="L63" s="22">
        <v>46432</v>
      </c>
      <c r="M63" s="30" t="str">
        <f t="shared" si="7"/>
        <v/>
      </c>
      <c r="N63" s="30">
        <f t="shared" si="6"/>
        <v>1980</v>
      </c>
      <c r="O63" s="8"/>
    </row>
    <row r="64" spans="1:15" ht="21" customHeight="1" x14ac:dyDescent="0.25">
      <c r="A64" s="119">
        <v>36</v>
      </c>
      <c r="B64" s="120" t="s">
        <v>86</v>
      </c>
      <c r="C64" s="146" t="s">
        <v>164</v>
      </c>
      <c r="D64" s="122" t="s">
        <v>165</v>
      </c>
      <c r="E64" s="123">
        <v>45861</v>
      </c>
      <c r="F64" s="118"/>
      <c r="G64" s="115"/>
      <c r="H64" s="115"/>
      <c r="I64" s="7">
        <f>ROUND(31960*70%,2)</f>
        <v>22372</v>
      </c>
      <c r="J64" s="7"/>
      <c r="K64" s="4" t="s">
        <v>166</v>
      </c>
      <c r="L64" s="18">
        <v>45931</v>
      </c>
      <c r="M64" s="30" t="str">
        <f t="shared" ref="M64:M67" si="8">IF(L64&gt;$J$1-1,"",I64)</f>
        <v/>
      </c>
      <c r="N64" s="30">
        <f t="shared" ref="N64" si="9">IF(L64&lt;$J$1,"",I64)</f>
        <v>22372</v>
      </c>
      <c r="O64" s="8"/>
    </row>
    <row r="65" spans="1:15" ht="21" customHeight="1" x14ac:dyDescent="0.25">
      <c r="A65" s="119"/>
      <c r="B65" s="120"/>
      <c r="C65" s="151"/>
      <c r="D65" s="122"/>
      <c r="E65" s="123"/>
      <c r="F65" s="118"/>
      <c r="G65" s="115"/>
      <c r="H65" s="115"/>
      <c r="I65" s="7">
        <f>ROUND(31960*30%,2)</f>
        <v>9588</v>
      </c>
      <c r="J65" s="7"/>
      <c r="K65" s="4" t="s">
        <v>167</v>
      </c>
      <c r="L65" s="22">
        <v>46692</v>
      </c>
      <c r="M65" s="30" t="str">
        <f t="shared" si="8"/>
        <v/>
      </c>
      <c r="N65" s="30">
        <f>IF(L65&lt;$J$1,"",I65)</f>
        <v>9588</v>
      </c>
      <c r="O65" s="8"/>
    </row>
    <row r="66" spans="1:15" ht="21" customHeight="1" x14ac:dyDescent="0.25">
      <c r="A66" s="147">
        <v>37</v>
      </c>
      <c r="B66" s="152" t="s">
        <v>168</v>
      </c>
      <c r="C66" s="146" t="s">
        <v>169</v>
      </c>
      <c r="D66" s="152" t="s">
        <v>170</v>
      </c>
      <c r="E66" s="148">
        <v>45862</v>
      </c>
      <c r="F66" s="149">
        <v>45875</v>
      </c>
      <c r="G66" s="116" t="s">
        <v>19</v>
      </c>
      <c r="H66" s="116"/>
      <c r="I66" s="7">
        <f>ROUND(184998*70%,2)</f>
        <v>129498.6</v>
      </c>
      <c r="J66" s="7"/>
      <c r="K66" s="4" t="s">
        <v>171</v>
      </c>
      <c r="L66" s="22">
        <v>46087</v>
      </c>
      <c r="M66" s="30" t="str">
        <f t="shared" si="8"/>
        <v/>
      </c>
      <c r="N66" s="30">
        <f>IF(L66&lt;$J$1,"",I66)</f>
        <v>129498.6</v>
      </c>
      <c r="O66" s="8"/>
    </row>
    <row r="67" spans="1:15" ht="21" customHeight="1" x14ac:dyDescent="0.25">
      <c r="A67" s="154"/>
      <c r="B67" s="153"/>
      <c r="C67" s="151"/>
      <c r="D67" s="153"/>
      <c r="E67" s="155"/>
      <c r="F67" s="156"/>
      <c r="G67" s="116" t="s">
        <v>21</v>
      </c>
      <c r="H67" s="116"/>
      <c r="I67" s="7">
        <f>ROUND(184998*30%,2)</f>
        <v>55499.4</v>
      </c>
      <c r="J67" s="7"/>
      <c r="K67" s="4" t="s">
        <v>172</v>
      </c>
      <c r="L67" s="22">
        <v>46818</v>
      </c>
      <c r="M67" s="30" t="str">
        <f t="shared" si="8"/>
        <v/>
      </c>
      <c r="N67" s="30">
        <f>IF(L67&lt;$J$1,"",I67)</f>
        <v>55499.4</v>
      </c>
      <c r="O67" s="8"/>
    </row>
    <row r="68" spans="1:15" ht="27.75" customHeight="1" x14ac:dyDescent="0.25">
      <c r="A68" s="117" t="s">
        <v>125</v>
      </c>
      <c r="B68" s="117"/>
      <c r="C68" s="117"/>
      <c r="D68" s="117"/>
      <c r="E68" s="117"/>
      <c r="F68" s="117"/>
      <c r="G68" s="117"/>
      <c r="H68" s="74"/>
      <c r="I68" s="29">
        <f>SUM(I3:I67)</f>
        <v>3260952.9611615995</v>
      </c>
      <c r="J68" s="29">
        <f>SUM(J3:J63)</f>
        <v>6606.7240000000002</v>
      </c>
      <c r="K68" s="7"/>
      <c r="L68" s="7"/>
      <c r="M68" s="29">
        <f>SUM(M3:M67)</f>
        <v>2722102.5011615995</v>
      </c>
      <c r="N68" s="29">
        <f>SUM(N3:N67)</f>
        <v>538850.46000000008</v>
      </c>
      <c r="O68" s="28">
        <f>M68+N68-I68</f>
        <v>0</v>
      </c>
    </row>
    <row r="69" spans="1:15" x14ac:dyDescent="0.25">
      <c r="M69" s="17"/>
      <c r="N69" s="17"/>
    </row>
    <row r="70" spans="1:15" x14ac:dyDescent="0.25">
      <c r="M70" s="17"/>
      <c r="N70" s="17"/>
    </row>
    <row r="71" spans="1:15" x14ac:dyDescent="0.25">
      <c r="B71" s="107"/>
      <c r="M71" s="17"/>
      <c r="N71" s="105"/>
      <c r="O71" s="106"/>
    </row>
    <row r="72" spans="1:15" x14ac:dyDescent="0.25">
      <c r="M72" s="17"/>
      <c r="N72" s="17"/>
    </row>
    <row r="73" spans="1:15" x14ac:dyDescent="0.25">
      <c r="M73" s="17"/>
      <c r="N73" s="17"/>
    </row>
    <row r="74" spans="1:15" x14ac:dyDescent="0.25">
      <c r="M74" s="17"/>
      <c r="N74" s="17"/>
    </row>
    <row r="75" spans="1:15" x14ac:dyDescent="0.25">
      <c r="M75" s="17"/>
      <c r="N75" s="17"/>
    </row>
    <row r="76" spans="1:15" x14ac:dyDescent="0.25">
      <c r="M76" s="17"/>
      <c r="N76" s="17"/>
    </row>
    <row r="77" spans="1:15" x14ac:dyDescent="0.25">
      <c r="M77" s="17"/>
      <c r="N77" s="17"/>
    </row>
    <row r="78" spans="1:15" x14ac:dyDescent="0.25">
      <c r="M78" s="17"/>
      <c r="N78" s="17"/>
    </row>
    <row r="79" spans="1:15" x14ac:dyDescent="0.25">
      <c r="M79" s="17"/>
      <c r="N79" s="17"/>
    </row>
    <row r="80" spans="1:15" x14ac:dyDescent="0.25">
      <c r="M80" s="17"/>
      <c r="N80" s="17"/>
    </row>
    <row r="81" spans="13:14" x14ac:dyDescent="0.25">
      <c r="M81" s="17"/>
      <c r="N81" s="17"/>
    </row>
    <row r="82" spans="13:14" x14ac:dyDescent="0.25">
      <c r="M82" s="17"/>
      <c r="N82" s="17"/>
    </row>
    <row r="83" spans="13:14" x14ac:dyDescent="0.25">
      <c r="M83" s="17"/>
      <c r="N83" s="17"/>
    </row>
    <row r="84" spans="13:14" x14ac:dyDescent="0.25">
      <c r="M84" s="17"/>
      <c r="N84" s="17"/>
    </row>
    <row r="85" spans="13:14" x14ac:dyDescent="0.25">
      <c r="M85" s="17"/>
      <c r="N85" s="17"/>
    </row>
    <row r="86" spans="13:14" x14ac:dyDescent="0.25">
      <c r="M86" s="17"/>
      <c r="N86" s="17"/>
    </row>
    <row r="87" spans="13:14" x14ac:dyDescent="0.25">
      <c r="M87" s="17"/>
      <c r="N87" s="17"/>
    </row>
    <row r="88" spans="13:14" x14ac:dyDescent="0.25">
      <c r="M88" s="17"/>
      <c r="N88" s="17"/>
    </row>
    <row r="89" spans="13:14" x14ac:dyDescent="0.25">
      <c r="M89" s="17"/>
      <c r="N89" s="17"/>
    </row>
    <row r="90" spans="13:14" x14ac:dyDescent="0.25">
      <c r="M90" s="17"/>
      <c r="N90" s="17"/>
    </row>
    <row r="91" spans="13:14" x14ac:dyDescent="0.25">
      <c r="M91" s="17"/>
      <c r="N91" s="17"/>
    </row>
    <row r="92" spans="13:14" x14ac:dyDescent="0.25">
      <c r="M92" s="17"/>
      <c r="N92" s="17"/>
    </row>
    <row r="93" spans="13:14" x14ac:dyDescent="0.25">
      <c r="M93" s="17"/>
      <c r="N93" s="17"/>
    </row>
    <row r="94" spans="13:14" x14ac:dyDescent="0.25">
      <c r="M94" s="17"/>
      <c r="N94" s="17"/>
    </row>
    <row r="95" spans="13:14" x14ac:dyDescent="0.25">
      <c r="M95" s="17"/>
      <c r="N95" s="17"/>
    </row>
    <row r="96" spans="13:14" x14ac:dyDescent="0.25">
      <c r="M96" s="17"/>
      <c r="N96" s="17"/>
    </row>
    <row r="97" spans="13:14" x14ac:dyDescent="0.25">
      <c r="M97" s="17"/>
      <c r="N97" s="17"/>
    </row>
    <row r="98" spans="13:14" x14ac:dyDescent="0.25">
      <c r="M98" s="17"/>
      <c r="N98" s="17"/>
    </row>
    <row r="99" spans="13:14" x14ac:dyDescent="0.25">
      <c r="M99" s="17"/>
      <c r="N99" s="17"/>
    </row>
    <row r="100" spans="13:14" x14ac:dyDescent="0.25">
      <c r="M100" s="17"/>
      <c r="N100" s="17"/>
    </row>
    <row r="101" spans="13:14" x14ac:dyDescent="0.25">
      <c r="M101" s="17"/>
      <c r="N101" s="17"/>
    </row>
    <row r="102" spans="13:14" x14ac:dyDescent="0.25">
      <c r="M102" s="17"/>
      <c r="N102" s="17"/>
    </row>
    <row r="103" spans="13:14" x14ac:dyDescent="0.25">
      <c r="M103" s="17"/>
      <c r="N103" s="17"/>
    </row>
    <row r="104" spans="13:14" x14ac:dyDescent="0.25">
      <c r="M104" s="17"/>
      <c r="N104" s="17"/>
    </row>
    <row r="105" spans="13:14" x14ac:dyDescent="0.25">
      <c r="M105" s="17"/>
      <c r="N105" s="17"/>
    </row>
    <row r="106" spans="13:14" x14ac:dyDescent="0.25">
      <c r="M106" s="17"/>
      <c r="N106" s="17"/>
    </row>
    <row r="107" spans="13:14" x14ac:dyDescent="0.25">
      <c r="M107" s="17"/>
      <c r="N107" s="17"/>
    </row>
    <row r="108" spans="13:14" x14ac:dyDescent="0.25">
      <c r="M108" s="17"/>
      <c r="N108" s="17"/>
    </row>
    <row r="109" spans="13:14" x14ac:dyDescent="0.25">
      <c r="M109" s="17"/>
      <c r="N109" s="17"/>
    </row>
    <row r="110" spans="13:14" x14ac:dyDescent="0.25">
      <c r="M110" s="17"/>
      <c r="N110" s="17"/>
    </row>
    <row r="111" spans="13:14" x14ac:dyDescent="0.25">
      <c r="M111" s="17"/>
      <c r="N111" s="17"/>
    </row>
    <row r="112" spans="13:14" x14ac:dyDescent="0.25">
      <c r="M112" s="17"/>
      <c r="N112" s="17"/>
    </row>
    <row r="113" spans="13:14" x14ac:dyDescent="0.25">
      <c r="M113" s="17"/>
      <c r="N113" s="17"/>
    </row>
    <row r="114" spans="13:14" x14ac:dyDescent="0.25">
      <c r="M114" s="17"/>
      <c r="N114" s="17"/>
    </row>
    <row r="115" spans="13:14" x14ac:dyDescent="0.25">
      <c r="M115" s="17"/>
      <c r="N115" s="17"/>
    </row>
    <row r="116" spans="13:14" x14ac:dyDescent="0.25">
      <c r="M116" s="17"/>
      <c r="N116" s="17"/>
    </row>
    <row r="117" spans="13:14" x14ac:dyDescent="0.25">
      <c r="M117" s="17"/>
      <c r="N117" s="17"/>
    </row>
    <row r="118" spans="13:14" x14ac:dyDescent="0.25">
      <c r="M118" s="17"/>
      <c r="N118" s="17"/>
    </row>
    <row r="119" spans="13:14" x14ac:dyDescent="0.25">
      <c r="M119" s="17"/>
      <c r="N119" s="17"/>
    </row>
    <row r="120" spans="13:14" x14ac:dyDescent="0.25">
      <c r="M120" s="17"/>
      <c r="N120" s="17"/>
    </row>
    <row r="121" spans="13:14" x14ac:dyDescent="0.25">
      <c r="M121" s="17"/>
      <c r="N121" s="17"/>
    </row>
    <row r="122" spans="13:14" x14ac:dyDescent="0.25">
      <c r="M122" s="17"/>
      <c r="N122" s="17"/>
    </row>
    <row r="123" spans="13:14" x14ac:dyDescent="0.25">
      <c r="M123" s="17"/>
      <c r="N123" s="17"/>
    </row>
    <row r="124" spans="13:14" x14ac:dyDescent="0.25">
      <c r="M124" s="17"/>
      <c r="N124" s="17"/>
    </row>
    <row r="125" spans="13:14" x14ac:dyDescent="0.25">
      <c r="M125" s="17"/>
      <c r="N125" s="17"/>
    </row>
    <row r="126" spans="13:14" x14ac:dyDescent="0.25">
      <c r="M126" s="17"/>
      <c r="N126" s="17"/>
    </row>
    <row r="127" spans="13:14" x14ac:dyDescent="0.25">
      <c r="M127" s="17"/>
      <c r="N127" s="17"/>
    </row>
    <row r="128" spans="13:14" x14ac:dyDescent="0.25">
      <c r="M128" s="17"/>
      <c r="N128" s="17"/>
    </row>
    <row r="129" spans="13:14" x14ac:dyDescent="0.25">
      <c r="M129" s="17"/>
      <c r="N129" s="17"/>
    </row>
    <row r="130" spans="13:14" x14ac:dyDescent="0.25">
      <c r="M130" s="17"/>
      <c r="N130" s="17"/>
    </row>
    <row r="131" spans="13:14" x14ac:dyDescent="0.25">
      <c r="M131" s="17"/>
      <c r="N131" s="17"/>
    </row>
    <row r="132" spans="13:14" x14ac:dyDescent="0.25">
      <c r="M132" s="17"/>
      <c r="N132" s="17"/>
    </row>
    <row r="133" spans="13:14" x14ac:dyDescent="0.25">
      <c r="M133" s="17"/>
      <c r="N133" s="17"/>
    </row>
    <row r="134" spans="13:14" x14ac:dyDescent="0.25">
      <c r="M134" s="17"/>
      <c r="N134" s="17"/>
    </row>
    <row r="135" spans="13:14" x14ac:dyDescent="0.25">
      <c r="M135" s="17"/>
      <c r="N135" s="17"/>
    </row>
    <row r="136" spans="13:14" x14ac:dyDescent="0.25">
      <c r="M136" s="17"/>
      <c r="N136" s="17"/>
    </row>
    <row r="137" spans="13:14" x14ac:dyDescent="0.25">
      <c r="M137" s="17"/>
      <c r="N137" s="17"/>
    </row>
    <row r="138" spans="13:14" x14ac:dyDescent="0.25">
      <c r="M138" s="17"/>
      <c r="N138" s="17"/>
    </row>
    <row r="139" spans="13:14" x14ac:dyDescent="0.25">
      <c r="M139" s="17"/>
      <c r="N139" s="17"/>
    </row>
    <row r="140" spans="13:14" x14ac:dyDescent="0.25">
      <c r="M140" s="17"/>
      <c r="N140" s="17"/>
    </row>
    <row r="141" spans="13:14" x14ac:dyDescent="0.25">
      <c r="M141" s="17"/>
      <c r="N141" s="17"/>
    </row>
    <row r="142" spans="13:14" x14ac:dyDescent="0.25">
      <c r="M142" s="17"/>
      <c r="N142" s="17"/>
    </row>
    <row r="143" spans="13:14" x14ac:dyDescent="0.25">
      <c r="M143" s="17"/>
      <c r="N143" s="17"/>
    </row>
    <row r="144" spans="13:14" x14ac:dyDescent="0.25">
      <c r="M144" s="17"/>
      <c r="N144" s="17"/>
    </row>
    <row r="145" spans="13:14" x14ac:dyDescent="0.25">
      <c r="M145" s="17"/>
      <c r="N145" s="17"/>
    </row>
    <row r="146" spans="13:14" x14ac:dyDescent="0.25">
      <c r="M146" s="17"/>
      <c r="N146" s="17"/>
    </row>
    <row r="147" spans="13:14" x14ac:dyDescent="0.25">
      <c r="M147" s="17"/>
      <c r="N147" s="17"/>
    </row>
    <row r="148" spans="13:14" x14ac:dyDescent="0.25">
      <c r="M148" s="17"/>
      <c r="N148" s="17"/>
    </row>
    <row r="149" spans="13:14" x14ac:dyDescent="0.25">
      <c r="M149" s="17"/>
      <c r="N149" s="17"/>
    </row>
    <row r="150" spans="13:14" x14ac:dyDescent="0.25">
      <c r="M150" s="17"/>
      <c r="N150" s="17"/>
    </row>
    <row r="151" spans="13:14" x14ac:dyDescent="0.25">
      <c r="M151" s="17"/>
      <c r="N151" s="17"/>
    </row>
    <row r="152" spans="13:14" x14ac:dyDescent="0.25">
      <c r="M152" s="17"/>
      <c r="N152" s="17"/>
    </row>
    <row r="153" spans="13:14" x14ac:dyDescent="0.25">
      <c r="M153" s="17"/>
      <c r="N153" s="17"/>
    </row>
    <row r="154" spans="13:14" x14ac:dyDescent="0.25">
      <c r="M154" s="17"/>
      <c r="N154" s="17"/>
    </row>
    <row r="155" spans="13:14" x14ac:dyDescent="0.25">
      <c r="M155" s="17"/>
      <c r="N155" s="17"/>
    </row>
    <row r="156" spans="13:14" x14ac:dyDescent="0.25">
      <c r="M156" s="17"/>
      <c r="N156" s="17"/>
    </row>
    <row r="157" spans="13:14" x14ac:dyDescent="0.25">
      <c r="M157" s="17"/>
      <c r="N157" s="17"/>
    </row>
    <row r="158" spans="13:14" x14ac:dyDescent="0.25">
      <c r="M158" s="17"/>
      <c r="N158" s="17"/>
    </row>
    <row r="159" spans="13:14" x14ac:dyDescent="0.25">
      <c r="M159" s="17"/>
      <c r="N159" s="17"/>
    </row>
    <row r="160" spans="13:14" x14ac:dyDescent="0.25">
      <c r="M160" s="17"/>
      <c r="N160" s="17"/>
    </row>
    <row r="161" spans="13:14" x14ac:dyDescent="0.25">
      <c r="M161" s="17"/>
      <c r="N161" s="17"/>
    </row>
    <row r="162" spans="13:14" x14ac:dyDescent="0.25">
      <c r="M162" s="17"/>
      <c r="N162" s="17"/>
    </row>
    <row r="163" spans="13:14" x14ac:dyDescent="0.25">
      <c r="M163" s="17"/>
      <c r="N163" s="17"/>
    </row>
    <row r="164" spans="13:14" x14ac:dyDescent="0.25">
      <c r="M164" s="17"/>
      <c r="N164" s="17"/>
    </row>
    <row r="165" spans="13:14" x14ac:dyDescent="0.25">
      <c r="M165" s="17"/>
      <c r="N165" s="17"/>
    </row>
    <row r="166" spans="13:14" x14ac:dyDescent="0.25">
      <c r="M166" s="17"/>
      <c r="N166" s="17"/>
    </row>
    <row r="167" spans="13:14" x14ac:dyDescent="0.25">
      <c r="M167" s="17"/>
      <c r="N167" s="17"/>
    </row>
    <row r="168" spans="13:14" x14ac:dyDescent="0.25">
      <c r="M168" s="17"/>
      <c r="N168" s="17"/>
    </row>
    <row r="169" spans="13:14" x14ac:dyDescent="0.25">
      <c r="M169" s="17"/>
      <c r="N169" s="17"/>
    </row>
    <row r="170" spans="13:14" x14ac:dyDescent="0.25">
      <c r="M170" s="17"/>
      <c r="N170" s="17"/>
    </row>
    <row r="171" spans="13:14" x14ac:dyDescent="0.25">
      <c r="M171" s="17"/>
      <c r="N171" s="17"/>
    </row>
    <row r="172" spans="13:14" x14ac:dyDescent="0.25">
      <c r="M172" s="17"/>
      <c r="N172" s="17"/>
    </row>
    <row r="173" spans="13:14" x14ac:dyDescent="0.25">
      <c r="M173" s="17"/>
      <c r="N173" s="17"/>
    </row>
    <row r="174" spans="13:14" x14ac:dyDescent="0.25">
      <c r="M174" s="17"/>
      <c r="N174" s="17"/>
    </row>
    <row r="175" spans="13:14" x14ac:dyDescent="0.25">
      <c r="M175" s="17"/>
      <c r="N175" s="17"/>
    </row>
    <row r="176" spans="13:14" x14ac:dyDescent="0.25">
      <c r="M176" s="17"/>
      <c r="N176" s="17"/>
    </row>
    <row r="177" spans="13:14" x14ac:dyDescent="0.25">
      <c r="M177" s="17"/>
      <c r="N177" s="17"/>
    </row>
    <row r="178" spans="13:14" x14ac:dyDescent="0.25">
      <c r="M178" s="17"/>
      <c r="N178" s="17"/>
    </row>
    <row r="179" spans="13:14" x14ac:dyDescent="0.25">
      <c r="M179" s="17"/>
      <c r="N179" s="17"/>
    </row>
    <row r="180" spans="13:14" x14ac:dyDescent="0.25">
      <c r="M180" s="17"/>
      <c r="N180" s="17"/>
    </row>
    <row r="181" spans="13:14" x14ac:dyDescent="0.25">
      <c r="M181" s="17"/>
      <c r="N181" s="17"/>
    </row>
    <row r="182" spans="13:14" x14ac:dyDescent="0.25">
      <c r="M182" s="17"/>
      <c r="N182" s="17"/>
    </row>
    <row r="183" spans="13:14" x14ac:dyDescent="0.25">
      <c r="M183" s="17"/>
      <c r="N183" s="17"/>
    </row>
    <row r="184" spans="13:14" x14ac:dyDescent="0.25">
      <c r="M184" s="17"/>
      <c r="N184" s="17"/>
    </row>
    <row r="185" spans="13:14" x14ac:dyDescent="0.25">
      <c r="M185" s="17"/>
      <c r="N185" s="17"/>
    </row>
    <row r="186" spans="13:14" x14ac:dyDescent="0.25">
      <c r="M186" s="17"/>
      <c r="N186" s="17"/>
    </row>
    <row r="187" spans="13:14" x14ac:dyDescent="0.25">
      <c r="M187" s="17"/>
      <c r="N187" s="17"/>
    </row>
    <row r="188" spans="13:14" x14ac:dyDescent="0.25">
      <c r="M188" s="17"/>
      <c r="N188" s="17"/>
    </row>
    <row r="189" spans="13:14" x14ac:dyDescent="0.25">
      <c r="M189" s="17"/>
      <c r="N189" s="17"/>
    </row>
    <row r="190" spans="13:14" x14ac:dyDescent="0.25">
      <c r="M190" s="17"/>
      <c r="N190" s="17"/>
    </row>
    <row r="191" spans="13:14" x14ac:dyDescent="0.25">
      <c r="M191" s="17"/>
      <c r="N191" s="17"/>
    </row>
    <row r="192" spans="13:14" x14ac:dyDescent="0.25">
      <c r="M192" s="17"/>
      <c r="N192" s="17"/>
    </row>
    <row r="193" spans="13:14" x14ac:dyDescent="0.25">
      <c r="M193" s="17"/>
      <c r="N193" s="17"/>
    </row>
    <row r="194" spans="13:14" x14ac:dyDescent="0.25">
      <c r="M194" s="17"/>
      <c r="N194" s="17"/>
    </row>
    <row r="195" spans="13:14" x14ac:dyDescent="0.25">
      <c r="M195" s="17"/>
      <c r="N195" s="17"/>
    </row>
    <row r="196" spans="13:14" x14ac:dyDescent="0.25">
      <c r="M196" s="17"/>
      <c r="N196" s="17"/>
    </row>
    <row r="197" spans="13:14" x14ac:dyDescent="0.25">
      <c r="M197" s="17"/>
      <c r="N197" s="17"/>
    </row>
    <row r="198" spans="13:14" x14ac:dyDescent="0.25">
      <c r="M198" s="17"/>
      <c r="N198" s="17"/>
    </row>
    <row r="199" spans="13:14" x14ac:dyDescent="0.25">
      <c r="M199" s="17"/>
      <c r="N199" s="17"/>
    </row>
    <row r="200" spans="13:14" x14ac:dyDescent="0.25">
      <c r="M200" s="17"/>
      <c r="N200" s="17"/>
    </row>
    <row r="201" spans="13:14" x14ac:dyDescent="0.25">
      <c r="M201" s="17"/>
      <c r="N201" s="17"/>
    </row>
    <row r="202" spans="13:14" x14ac:dyDescent="0.25">
      <c r="M202" s="17"/>
      <c r="N202" s="17"/>
    </row>
    <row r="203" spans="13:14" x14ac:dyDescent="0.25">
      <c r="M203" s="17"/>
      <c r="N203" s="17"/>
    </row>
    <row r="204" spans="13:14" x14ac:dyDescent="0.25">
      <c r="M204" s="17"/>
      <c r="N204" s="17"/>
    </row>
    <row r="205" spans="13:14" x14ac:dyDescent="0.25">
      <c r="M205" s="17"/>
      <c r="N205" s="17"/>
    </row>
    <row r="206" spans="13:14" x14ac:dyDescent="0.25">
      <c r="M206" s="17"/>
      <c r="N206" s="17"/>
    </row>
    <row r="207" spans="13:14" x14ac:dyDescent="0.25">
      <c r="M207" s="17"/>
      <c r="N207" s="17"/>
    </row>
    <row r="208" spans="13:14" x14ac:dyDescent="0.25">
      <c r="M208" s="17"/>
      <c r="N208" s="17"/>
    </row>
    <row r="209" spans="13:14" x14ac:dyDescent="0.25">
      <c r="M209" s="17"/>
      <c r="N209" s="17"/>
    </row>
    <row r="210" spans="13:14" x14ac:dyDescent="0.25">
      <c r="M210" s="17"/>
      <c r="N210" s="17"/>
    </row>
    <row r="211" spans="13:14" x14ac:dyDescent="0.25">
      <c r="M211" s="17"/>
      <c r="N211" s="17"/>
    </row>
    <row r="212" spans="13:14" x14ac:dyDescent="0.25">
      <c r="M212" s="17"/>
      <c r="N212" s="17"/>
    </row>
    <row r="213" spans="13:14" x14ac:dyDescent="0.25">
      <c r="M213" s="17"/>
      <c r="N213" s="17"/>
    </row>
    <row r="214" spans="13:14" x14ac:dyDescent="0.25">
      <c r="M214" s="17"/>
      <c r="N214" s="17"/>
    </row>
    <row r="215" spans="13:14" x14ac:dyDescent="0.25">
      <c r="M215" s="17"/>
      <c r="N215" s="17"/>
    </row>
    <row r="216" spans="13:14" x14ac:dyDescent="0.25">
      <c r="M216" s="17"/>
      <c r="N216" s="17"/>
    </row>
    <row r="217" spans="13:14" x14ac:dyDescent="0.25">
      <c r="M217" s="17"/>
      <c r="N217" s="17"/>
    </row>
    <row r="218" spans="13:14" x14ac:dyDescent="0.25">
      <c r="M218" s="17"/>
      <c r="N218" s="17"/>
    </row>
    <row r="219" spans="13:14" x14ac:dyDescent="0.25">
      <c r="M219" s="17"/>
      <c r="N219" s="17"/>
    </row>
    <row r="220" spans="13:14" x14ac:dyDescent="0.25">
      <c r="M220" s="17"/>
      <c r="N220" s="17"/>
    </row>
    <row r="221" spans="13:14" x14ac:dyDescent="0.25">
      <c r="M221" s="17"/>
      <c r="N221" s="17"/>
    </row>
    <row r="222" spans="13:14" x14ac:dyDescent="0.25">
      <c r="M222" s="17"/>
      <c r="N222" s="17"/>
    </row>
    <row r="223" spans="13:14" x14ac:dyDescent="0.25">
      <c r="M223" s="17"/>
      <c r="N223" s="17"/>
    </row>
    <row r="224" spans="13:14" x14ac:dyDescent="0.25">
      <c r="M224" s="17"/>
      <c r="N224" s="17"/>
    </row>
    <row r="225" spans="13:14" x14ac:dyDescent="0.25">
      <c r="M225" s="17"/>
      <c r="N225" s="17"/>
    </row>
    <row r="226" spans="13:14" x14ac:dyDescent="0.25">
      <c r="M226" s="17"/>
      <c r="N226" s="17"/>
    </row>
    <row r="227" spans="13:14" x14ac:dyDescent="0.25">
      <c r="M227" s="17"/>
      <c r="N227" s="17"/>
    </row>
    <row r="228" spans="13:14" x14ac:dyDescent="0.25">
      <c r="M228" s="17"/>
      <c r="N228" s="17"/>
    </row>
    <row r="229" spans="13:14" x14ac:dyDescent="0.25">
      <c r="M229" s="17"/>
      <c r="N229" s="17"/>
    </row>
    <row r="230" spans="13:14" x14ac:dyDescent="0.25">
      <c r="M230" s="17"/>
      <c r="N230" s="17"/>
    </row>
    <row r="231" spans="13:14" x14ac:dyDescent="0.25">
      <c r="M231" s="17"/>
      <c r="N231" s="17"/>
    </row>
    <row r="232" spans="13:14" x14ac:dyDescent="0.25">
      <c r="M232" s="17"/>
      <c r="N232" s="17"/>
    </row>
    <row r="233" spans="13:14" x14ac:dyDescent="0.25">
      <c r="M233" s="17"/>
      <c r="N233" s="17"/>
    </row>
    <row r="234" spans="13:14" x14ac:dyDescent="0.25">
      <c r="M234" s="17"/>
      <c r="N234" s="17"/>
    </row>
    <row r="235" spans="13:14" x14ac:dyDescent="0.25">
      <c r="M235" s="17"/>
      <c r="N235" s="17"/>
    </row>
    <row r="236" spans="13:14" x14ac:dyDescent="0.25">
      <c r="M236" s="17"/>
      <c r="N236" s="17"/>
    </row>
    <row r="237" spans="13:14" x14ac:dyDescent="0.25">
      <c r="M237" s="17"/>
      <c r="N237" s="17"/>
    </row>
    <row r="238" spans="13:14" x14ac:dyDescent="0.25">
      <c r="M238" s="17"/>
      <c r="N238" s="17"/>
    </row>
    <row r="239" spans="13:14" x14ac:dyDescent="0.25">
      <c r="M239" s="17"/>
      <c r="N239" s="17"/>
    </row>
    <row r="240" spans="13:14" x14ac:dyDescent="0.25">
      <c r="M240" s="17"/>
      <c r="N240" s="17"/>
    </row>
    <row r="241" spans="13:14" x14ac:dyDescent="0.25">
      <c r="M241" s="17"/>
      <c r="N241" s="17"/>
    </row>
    <row r="242" spans="13:14" x14ac:dyDescent="0.25">
      <c r="M242" s="17"/>
      <c r="N242" s="17"/>
    </row>
    <row r="243" spans="13:14" x14ac:dyDescent="0.25">
      <c r="M243" s="17"/>
      <c r="N243" s="17"/>
    </row>
    <row r="244" spans="13:14" x14ac:dyDescent="0.25">
      <c r="M244" s="17"/>
      <c r="N244" s="17"/>
    </row>
    <row r="245" spans="13:14" x14ac:dyDescent="0.25">
      <c r="M245" s="17"/>
      <c r="N245" s="17"/>
    </row>
    <row r="246" spans="13:14" x14ac:dyDescent="0.25">
      <c r="M246" s="17"/>
      <c r="N246" s="17"/>
    </row>
    <row r="247" spans="13:14" x14ac:dyDescent="0.25">
      <c r="M247" s="17"/>
      <c r="N247" s="17"/>
    </row>
    <row r="248" spans="13:14" x14ac:dyDescent="0.25">
      <c r="M248" s="17"/>
      <c r="N248" s="17"/>
    </row>
    <row r="249" spans="13:14" x14ac:dyDescent="0.25">
      <c r="M249" s="17"/>
      <c r="N249" s="17"/>
    </row>
    <row r="250" spans="13:14" x14ac:dyDescent="0.25">
      <c r="M250" s="17"/>
      <c r="N250" s="17"/>
    </row>
    <row r="251" spans="13:14" x14ac:dyDescent="0.25">
      <c r="M251" s="17"/>
      <c r="N251" s="17"/>
    </row>
    <row r="252" spans="13:14" x14ac:dyDescent="0.25">
      <c r="M252" s="17"/>
      <c r="N252" s="17"/>
    </row>
    <row r="253" spans="13:14" x14ac:dyDescent="0.25">
      <c r="M253" s="17"/>
      <c r="N253" s="17"/>
    </row>
    <row r="254" spans="13:14" x14ac:dyDescent="0.25">
      <c r="M254" s="17"/>
      <c r="N254" s="17"/>
    </row>
    <row r="255" spans="13:14" x14ac:dyDescent="0.25">
      <c r="M255" s="17"/>
      <c r="N255" s="17"/>
    </row>
    <row r="256" spans="13:14" x14ac:dyDescent="0.25">
      <c r="M256" s="17"/>
      <c r="N256" s="17"/>
    </row>
    <row r="257" spans="13:14" x14ac:dyDescent="0.25">
      <c r="M257" s="17"/>
      <c r="N257" s="17"/>
    </row>
    <row r="258" spans="13:14" x14ac:dyDescent="0.25">
      <c r="M258" s="17"/>
      <c r="N258" s="17"/>
    </row>
    <row r="259" spans="13:14" x14ac:dyDescent="0.25">
      <c r="M259" s="17"/>
      <c r="N259" s="17"/>
    </row>
    <row r="260" spans="13:14" x14ac:dyDescent="0.25">
      <c r="M260" s="17"/>
      <c r="N260" s="17"/>
    </row>
    <row r="261" spans="13:14" x14ac:dyDescent="0.25">
      <c r="M261" s="17"/>
      <c r="N261" s="17"/>
    </row>
    <row r="262" spans="13:14" x14ac:dyDescent="0.25">
      <c r="M262" s="17"/>
      <c r="N262" s="17"/>
    </row>
    <row r="263" spans="13:14" x14ac:dyDescent="0.25">
      <c r="M263" s="17"/>
      <c r="N263" s="17"/>
    </row>
    <row r="264" spans="13:14" x14ac:dyDescent="0.25">
      <c r="M264" s="17"/>
      <c r="N264" s="17"/>
    </row>
    <row r="265" spans="13:14" x14ac:dyDescent="0.25">
      <c r="M265" s="17"/>
      <c r="N265" s="17"/>
    </row>
    <row r="266" spans="13:14" x14ac:dyDescent="0.25">
      <c r="M266" s="17"/>
      <c r="N266" s="17"/>
    </row>
    <row r="267" spans="13:14" x14ac:dyDescent="0.25">
      <c r="M267" s="17"/>
      <c r="N267" s="17"/>
    </row>
    <row r="268" spans="13:14" x14ac:dyDescent="0.25">
      <c r="M268" s="17"/>
      <c r="N268" s="17"/>
    </row>
    <row r="269" spans="13:14" x14ac:dyDescent="0.25">
      <c r="M269" s="17"/>
      <c r="N269" s="17"/>
    </row>
    <row r="270" spans="13:14" x14ac:dyDescent="0.25">
      <c r="M270" s="17"/>
      <c r="N270" s="17"/>
    </row>
    <row r="271" spans="13:14" x14ac:dyDescent="0.25">
      <c r="M271" s="17"/>
      <c r="N271" s="17"/>
    </row>
    <row r="272" spans="13:14" x14ac:dyDescent="0.25">
      <c r="M272" s="17"/>
      <c r="N272" s="17"/>
    </row>
    <row r="273" spans="13:14" x14ac:dyDescent="0.25">
      <c r="M273" s="17"/>
      <c r="N273" s="17"/>
    </row>
    <row r="274" spans="13:14" x14ac:dyDescent="0.25">
      <c r="M274" s="17"/>
      <c r="N274" s="17"/>
    </row>
    <row r="275" spans="13:14" x14ac:dyDescent="0.25">
      <c r="M275" s="17"/>
      <c r="N275" s="17"/>
    </row>
    <row r="276" spans="13:14" x14ac:dyDescent="0.25">
      <c r="M276" s="17"/>
      <c r="N276" s="17"/>
    </row>
    <row r="277" spans="13:14" x14ac:dyDescent="0.25">
      <c r="M277" s="17"/>
      <c r="N277" s="17"/>
    </row>
    <row r="278" spans="13:14" x14ac:dyDescent="0.25">
      <c r="M278" s="17"/>
      <c r="N278" s="17"/>
    </row>
    <row r="279" spans="13:14" x14ac:dyDescent="0.25">
      <c r="M279" s="17"/>
      <c r="N279" s="17"/>
    </row>
    <row r="280" spans="13:14" x14ac:dyDescent="0.25">
      <c r="M280" s="17"/>
      <c r="N280" s="17"/>
    </row>
    <row r="281" spans="13:14" x14ac:dyDescent="0.25">
      <c r="M281" s="17"/>
      <c r="N281" s="17"/>
    </row>
    <row r="282" spans="13:14" x14ac:dyDescent="0.25">
      <c r="M282" s="17"/>
      <c r="N282" s="17"/>
    </row>
    <row r="283" spans="13:14" x14ac:dyDescent="0.25">
      <c r="M283" s="17"/>
      <c r="N283" s="17"/>
    </row>
    <row r="284" spans="13:14" x14ac:dyDescent="0.25">
      <c r="M284" s="17"/>
      <c r="N284" s="17"/>
    </row>
    <row r="285" spans="13:14" x14ac:dyDescent="0.25">
      <c r="M285" s="17"/>
      <c r="N285" s="17"/>
    </row>
    <row r="286" spans="13:14" x14ac:dyDescent="0.25">
      <c r="M286" s="17"/>
      <c r="N286" s="17"/>
    </row>
    <row r="287" spans="13:14" x14ac:dyDescent="0.25">
      <c r="M287" s="17"/>
      <c r="N287" s="17"/>
    </row>
    <row r="288" spans="13:14" x14ac:dyDescent="0.25">
      <c r="M288" s="17"/>
      <c r="N288" s="17"/>
    </row>
    <row r="289" spans="13:14" x14ac:dyDescent="0.25">
      <c r="M289" s="17"/>
      <c r="N289" s="17"/>
    </row>
    <row r="290" spans="13:14" x14ac:dyDescent="0.25">
      <c r="M290" s="17"/>
      <c r="N290" s="17"/>
    </row>
    <row r="291" spans="13:14" x14ac:dyDescent="0.25">
      <c r="M291" s="17"/>
      <c r="N291" s="17"/>
    </row>
    <row r="292" spans="13:14" x14ac:dyDescent="0.25">
      <c r="M292" s="17"/>
      <c r="N292" s="17"/>
    </row>
    <row r="293" spans="13:14" x14ac:dyDescent="0.25">
      <c r="M293" s="17"/>
      <c r="N293" s="17"/>
    </row>
    <row r="294" spans="13:14" x14ac:dyDescent="0.25">
      <c r="M294" s="17"/>
      <c r="N294" s="17"/>
    </row>
    <row r="295" spans="13:14" x14ac:dyDescent="0.25">
      <c r="M295" s="17"/>
      <c r="N295" s="17"/>
    </row>
    <row r="296" spans="13:14" x14ac:dyDescent="0.25">
      <c r="M296" s="17"/>
      <c r="N296" s="17"/>
    </row>
    <row r="297" spans="13:14" x14ac:dyDescent="0.25">
      <c r="M297" s="17"/>
      <c r="N297" s="17"/>
    </row>
    <row r="298" spans="13:14" x14ac:dyDescent="0.25">
      <c r="M298" s="17"/>
      <c r="N298" s="17"/>
    </row>
    <row r="299" spans="13:14" x14ac:dyDescent="0.25">
      <c r="M299" s="17"/>
      <c r="N299" s="17"/>
    </row>
    <row r="300" spans="13:14" x14ac:dyDescent="0.25">
      <c r="M300" s="17"/>
      <c r="N300" s="17"/>
    </row>
    <row r="301" spans="13:14" x14ac:dyDescent="0.25">
      <c r="M301" s="17"/>
      <c r="N301" s="17"/>
    </row>
    <row r="302" spans="13:14" x14ac:dyDescent="0.25">
      <c r="M302" s="17"/>
      <c r="N302" s="17"/>
    </row>
    <row r="303" spans="13:14" x14ac:dyDescent="0.25">
      <c r="M303" s="17"/>
      <c r="N303" s="17"/>
    </row>
    <row r="304" spans="13:14" x14ac:dyDescent="0.25">
      <c r="M304" s="17"/>
      <c r="N304" s="17"/>
    </row>
    <row r="305" spans="13:14" x14ac:dyDescent="0.25">
      <c r="M305" s="17"/>
      <c r="N305" s="17"/>
    </row>
    <row r="306" spans="13:14" x14ac:dyDescent="0.25">
      <c r="M306" s="17"/>
      <c r="N306" s="17"/>
    </row>
    <row r="307" spans="13:14" x14ac:dyDescent="0.25">
      <c r="M307" s="17"/>
      <c r="N307" s="17"/>
    </row>
    <row r="308" spans="13:14" x14ac:dyDescent="0.25">
      <c r="M308" s="17"/>
      <c r="N308" s="17"/>
    </row>
    <row r="309" spans="13:14" x14ac:dyDescent="0.25">
      <c r="M309" s="17"/>
      <c r="N309" s="17"/>
    </row>
    <row r="310" spans="13:14" x14ac:dyDescent="0.25">
      <c r="M310" s="17"/>
      <c r="N310" s="17"/>
    </row>
    <row r="311" spans="13:14" x14ac:dyDescent="0.25">
      <c r="M311" s="17"/>
      <c r="N311" s="17"/>
    </row>
    <row r="312" spans="13:14" x14ac:dyDescent="0.25">
      <c r="M312" s="17"/>
      <c r="N312" s="17"/>
    </row>
    <row r="313" spans="13:14" x14ac:dyDescent="0.25">
      <c r="M313" s="17"/>
      <c r="N313" s="17"/>
    </row>
    <row r="314" spans="13:14" x14ac:dyDescent="0.25">
      <c r="M314" s="17"/>
      <c r="N314" s="17"/>
    </row>
    <row r="315" spans="13:14" x14ac:dyDescent="0.25">
      <c r="M315" s="17"/>
      <c r="N315" s="17"/>
    </row>
    <row r="316" spans="13:14" x14ac:dyDescent="0.25">
      <c r="M316" s="17"/>
      <c r="N316" s="17"/>
    </row>
    <row r="317" spans="13:14" x14ac:dyDescent="0.25">
      <c r="M317" s="17"/>
      <c r="N317" s="17"/>
    </row>
    <row r="318" spans="13:14" x14ac:dyDescent="0.25">
      <c r="M318" s="17"/>
      <c r="N318" s="17"/>
    </row>
    <row r="319" spans="13:14" x14ac:dyDescent="0.25">
      <c r="M319" s="17"/>
      <c r="N319" s="17"/>
    </row>
    <row r="320" spans="13:14" x14ac:dyDescent="0.25">
      <c r="M320" s="17"/>
      <c r="N320" s="17"/>
    </row>
    <row r="321" spans="13:14" x14ac:dyDescent="0.25">
      <c r="M321" s="17"/>
      <c r="N321" s="17"/>
    </row>
    <row r="322" spans="13:14" x14ac:dyDescent="0.25">
      <c r="M322" s="17"/>
      <c r="N322" s="17"/>
    </row>
    <row r="323" spans="13:14" x14ac:dyDescent="0.25">
      <c r="M323" s="17"/>
      <c r="N323" s="17"/>
    </row>
    <row r="324" spans="13:14" x14ac:dyDescent="0.25">
      <c r="M324" s="17"/>
      <c r="N324" s="17"/>
    </row>
    <row r="325" spans="13:14" x14ac:dyDescent="0.25">
      <c r="M325" s="17"/>
      <c r="N325" s="17"/>
    </row>
    <row r="326" spans="13:14" x14ac:dyDescent="0.25">
      <c r="M326" s="17"/>
      <c r="N326" s="17"/>
    </row>
    <row r="327" spans="13:14" x14ac:dyDescent="0.25">
      <c r="M327" s="17"/>
      <c r="N327" s="17"/>
    </row>
    <row r="328" spans="13:14" x14ac:dyDescent="0.25">
      <c r="M328" s="17"/>
      <c r="N328" s="17"/>
    </row>
    <row r="329" spans="13:14" x14ac:dyDescent="0.25">
      <c r="M329" s="17"/>
      <c r="N329" s="17"/>
    </row>
    <row r="330" spans="13:14" x14ac:dyDescent="0.25">
      <c r="M330" s="17"/>
      <c r="N330" s="17"/>
    </row>
    <row r="331" spans="13:14" x14ac:dyDescent="0.25">
      <c r="M331" s="17"/>
      <c r="N331" s="17"/>
    </row>
    <row r="332" spans="13:14" x14ac:dyDescent="0.25">
      <c r="M332" s="17"/>
      <c r="N332" s="17"/>
    </row>
    <row r="333" spans="13:14" x14ac:dyDescent="0.25">
      <c r="M333" s="17"/>
      <c r="N333" s="17"/>
    </row>
    <row r="334" spans="13:14" x14ac:dyDescent="0.25">
      <c r="M334" s="17"/>
      <c r="N334" s="17"/>
    </row>
    <row r="335" spans="13:14" x14ac:dyDescent="0.25">
      <c r="M335" s="17"/>
      <c r="N335" s="17"/>
    </row>
    <row r="336" spans="13:14" x14ac:dyDescent="0.25">
      <c r="M336" s="17"/>
      <c r="N336" s="17"/>
    </row>
    <row r="337" spans="13:14" x14ac:dyDescent="0.25">
      <c r="M337" s="17"/>
      <c r="N337" s="17"/>
    </row>
    <row r="338" spans="13:14" x14ac:dyDescent="0.25">
      <c r="M338" s="17"/>
      <c r="N338" s="17"/>
    </row>
    <row r="339" spans="13:14" x14ac:dyDescent="0.25">
      <c r="M339" s="17"/>
      <c r="N339" s="17"/>
    </row>
    <row r="340" spans="13:14" x14ac:dyDescent="0.25">
      <c r="M340" s="17"/>
      <c r="N340" s="17"/>
    </row>
    <row r="341" spans="13:14" x14ac:dyDescent="0.25">
      <c r="M341" s="17"/>
      <c r="N341" s="17"/>
    </row>
    <row r="342" spans="13:14" x14ac:dyDescent="0.25">
      <c r="M342" s="17"/>
      <c r="N342" s="17"/>
    </row>
    <row r="343" spans="13:14" x14ac:dyDescent="0.25">
      <c r="M343" s="17"/>
      <c r="N343" s="17"/>
    </row>
    <row r="344" spans="13:14" x14ac:dyDescent="0.25">
      <c r="M344" s="17"/>
      <c r="N344" s="17"/>
    </row>
    <row r="345" spans="13:14" x14ac:dyDescent="0.25">
      <c r="M345" s="17"/>
      <c r="N345" s="17"/>
    </row>
    <row r="346" spans="13:14" x14ac:dyDescent="0.25">
      <c r="M346" s="17"/>
      <c r="N346" s="17"/>
    </row>
    <row r="347" spans="13:14" x14ac:dyDescent="0.25">
      <c r="M347" s="17"/>
      <c r="N347" s="17"/>
    </row>
    <row r="348" spans="13:14" x14ac:dyDescent="0.25">
      <c r="M348" s="17"/>
      <c r="N348" s="17"/>
    </row>
    <row r="349" spans="13:14" x14ac:dyDescent="0.25">
      <c r="M349" s="17"/>
      <c r="N349" s="17"/>
    </row>
    <row r="350" spans="13:14" x14ac:dyDescent="0.25">
      <c r="M350" s="17"/>
      <c r="N350" s="17"/>
    </row>
    <row r="351" spans="13:14" x14ac:dyDescent="0.25">
      <c r="M351" s="17"/>
      <c r="N351" s="17"/>
    </row>
    <row r="352" spans="13:14" x14ac:dyDescent="0.25">
      <c r="M352" s="17"/>
      <c r="N352" s="17"/>
    </row>
    <row r="353" spans="13:14" x14ac:dyDescent="0.25">
      <c r="M353" s="17"/>
      <c r="N353" s="17"/>
    </row>
    <row r="354" spans="13:14" x14ac:dyDescent="0.25">
      <c r="M354" s="17"/>
      <c r="N354" s="17"/>
    </row>
    <row r="355" spans="13:14" x14ac:dyDescent="0.25">
      <c r="M355" s="17"/>
      <c r="N355" s="17"/>
    </row>
    <row r="356" spans="13:14" x14ac:dyDescent="0.25">
      <c r="M356" s="17"/>
      <c r="N356" s="17"/>
    </row>
    <row r="357" spans="13:14" x14ac:dyDescent="0.25">
      <c r="M357" s="17"/>
      <c r="N357" s="17"/>
    </row>
    <row r="358" spans="13:14" x14ac:dyDescent="0.25">
      <c r="M358" s="17"/>
      <c r="N358" s="17"/>
    </row>
    <row r="359" spans="13:14" x14ac:dyDescent="0.25">
      <c r="M359" s="17"/>
      <c r="N359" s="17"/>
    </row>
    <row r="360" spans="13:14" x14ac:dyDescent="0.25">
      <c r="M360" s="17"/>
      <c r="N360" s="17"/>
    </row>
    <row r="361" spans="13:14" x14ac:dyDescent="0.25">
      <c r="M361" s="17"/>
      <c r="N361" s="17"/>
    </row>
    <row r="362" spans="13:14" x14ac:dyDescent="0.25">
      <c r="M362" s="17"/>
      <c r="N362" s="17"/>
    </row>
    <row r="363" spans="13:14" x14ac:dyDescent="0.25">
      <c r="M363" s="17"/>
      <c r="N363" s="17"/>
    </row>
    <row r="364" spans="13:14" x14ac:dyDescent="0.25">
      <c r="M364" s="17"/>
      <c r="N364" s="17"/>
    </row>
    <row r="365" spans="13:14" x14ac:dyDescent="0.25">
      <c r="M365" s="17"/>
      <c r="N365" s="17"/>
    </row>
    <row r="366" spans="13:14" x14ac:dyDescent="0.25">
      <c r="M366" s="17"/>
      <c r="N366" s="17"/>
    </row>
    <row r="367" spans="13:14" x14ac:dyDescent="0.25">
      <c r="M367" s="17"/>
      <c r="N367" s="17"/>
    </row>
    <row r="368" spans="13:14" x14ac:dyDescent="0.25">
      <c r="M368" s="17"/>
      <c r="N368" s="17"/>
    </row>
    <row r="369" spans="13:14" x14ac:dyDescent="0.25">
      <c r="M369" s="17"/>
      <c r="N369" s="17"/>
    </row>
    <row r="370" spans="13:14" x14ac:dyDescent="0.25">
      <c r="M370" s="17"/>
      <c r="N370" s="17"/>
    </row>
    <row r="371" spans="13:14" x14ac:dyDescent="0.25">
      <c r="M371" s="17"/>
      <c r="N371" s="17"/>
    </row>
    <row r="372" spans="13:14" x14ac:dyDescent="0.25">
      <c r="M372" s="17"/>
      <c r="N372" s="17"/>
    </row>
    <row r="373" spans="13:14" x14ac:dyDescent="0.25">
      <c r="M373" s="17"/>
      <c r="N373" s="17"/>
    </row>
    <row r="374" spans="13:14" x14ac:dyDescent="0.25">
      <c r="M374" s="17"/>
      <c r="N374" s="17"/>
    </row>
    <row r="375" spans="13:14" x14ac:dyDescent="0.25">
      <c r="M375" s="17"/>
      <c r="N375" s="17"/>
    </row>
    <row r="376" spans="13:14" x14ac:dyDescent="0.25">
      <c r="M376" s="17"/>
      <c r="N376" s="17"/>
    </row>
    <row r="377" spans="13:14" x14ac:dyDescent="0.25">
      <c r="M377" s="17"/>
      <c r="N377" s="17"/>
    </row>
    <row r="378" spans="13:14" x14ac:dyDescent="0.25">
      <c r="M378" s="17"/>
      <c r="N378" s="17"/>
    </row>
    <row r="379" spans="13:14" x14ac:dyDescent="0.25">
      <c r="M379" s="17"/>
      <c r="N379" s="17"/>
    </row>
    <row r="380" spans="13:14" x14ac:dyDescent="0.25">
      <c r="M380" s="17"/>
      <c r="N380" s="17"/>
    </row>
    <row r="381" spans="13:14" x14ac:dyDescent="0.25">
      <c r="M381" s="17"/>
      <c r="N381" s="17"/>
    </row>
    <row r="382" spans="13:14" x14ac:dyDescent="0.25">
      <c r="M382" s="17"/>
      <c r="N382" s="17"/>
    </row>
    <row r="383" spans="13:14" x14ac:dyDescent="0.25">
      <c r="M383" s="17"/>
      <c r="N383" s="17"/>
    </row>
    <row r="384" spans="13:14" x14ac:dyDescent="0.25">
      <c r="M384" s="17"/>
      <c r="N384" s="17"/>
    </row>
    <row r="385" spans="13:14" x14ac:dyDescent="0.25">
      <c r="M385" s="17"/>
      <c r="N385" s="17"/>
    </row>
    <row r="386" spans="13:14" x14ac:dyDescent="0.25">
      <c r="M386" s="17"/>
      <c r="N386" s="17"/>
    </row>
    <row r="387" spans="13:14" x14ac:dyDescent="0.25">
      <c r="M387" s="17"/>
      <c r="N387" s="17"/>
    </row>
    <row r="388" spans="13:14" x14ac:dyDescent="0.25">
      <c r="M388" s="17"/>
      <c r="N388" s="17"/>
    </row>
    <row r="389" spans="13:14" x14ac:dyDescent="0.25">
      <c r="M389" s="17"/>
      <c r="N389" s="17"/>
    </row>
    <row r="390" spans="13:14" x14ac:dyDescent="0.25">
      <c r="M390" s="17"/>
      <c r="N390" s="17"/>
    </row>
    <row r="391" spans="13:14" x14ac:dyDescent="0.25">
      <c r="M391" s="17"/>
      <c r="N391" s="17"/>
    </row>
    <row r="392" spans="13:14" x14ac:dyDescent="0.25">
      <c r="M392" s="17"/>
      <c r="N392" s="17"/>
    </row>
    <row r="393" spans="13:14" x14ac:dyDescent="0.25">
      <c r="M393" s="17"/>
      <c r="N393" s="17"/>
    </row>
    <row r="394" spans="13:14" x14ac:dyDescent="0.25">
      <c r="M394" s="17"/>
      <c r="N394" s="17"/>
    </row>
    <row r="395" spans="13:14" x14ac:dyDescent="0.25">
      <c r="M395" s="17"/>
      <c r="N395" s="17"/>
    </row>
    <row r="396" spans="13:14" x14ac:dyDescent="0.25">
      <c r="M396" s="17"/>
      <c r="N396" s="17"/>
    </row>
    <row r="397" spans="13:14" x14ac:dyDescent="0.25">
      <c r="M397" s="17"/>
      <c r="N397" s="17"/>
    </row>
    <row r="398" spans="13:14" x14ac:dyDescent="0.25">
      <c r="M398" s="17"/>
      <c r="N398" s="17"/>
    </row>
    <row r="399" spans="13:14" x14ac:dyDescent="0.25">
      <c r="M399" s="17"/>
      <c r="N399" s="17"/>
    </row>
    <row r="400" spans="13:14" x14ac:dyDescent="0.25">
      <c r="M400" s="17"/>
      <c r="N400" s="17"/>
    </row>
    <row r="401" spans="13:14" x14ac:dyDescent="0.25">
      <c r="M401" s="17"/>
      <c r="N401" s="17"/>
    </row>
    <row r="402" spans="13:14" x14ac:dyDescent="0.25">
      <c r="M402" s="17"/>
      <c r="N402" s="17"/>
    </row>
    <row r="403" spans="13:14" x14ac:dyDescent="0.25">
      <c r="M403" s="17"/>
      <c r="N403" s="17"/>
    </row>
    <row r="404" spans="13:14" x14ac:dyDescent="0.25">
      <c r="M404" s="17"/>
      <c r="N404" s="17"/>
    </row>
    <row r="405" spans="13:14" x14ac:dyDescent="0.25">
      <c r="M405" s="17"/>
      <c r="N405" s="17"/>
    </row>
    <row r="406" spans="13:14" x14ac:dyDescent="0.25">
      <c r="M406" s="17"/>
      <c r="N406" s="17"/>
    </row>
    <row r="407" spans="13:14" x14ac:dyDescent="0.25">
      <c r="M407" s="17"/>
      <c r="N407" s="17"/>
    </row>
    <row r="408" spans="13:14" x14ac:dyDescent="0.25">
      <c r="M408" s="17"/>
      <c r="N408" s="17"/>
    </row>
    <row r="409" spans="13:14" x14ac:dyDescent="0.25">
      <c r="M409" s="17"/>
      <c r="N409" s="17"/>
    </row>
    <row r="410" spans="13:14" x14ac:dyDescent="0.25">
      <c r="M410" s="17"/>
      <c r="N410" s="17"/>
    </row>
    <row r="411" spans="13:14" x14ac:dyDescent="0.25">
      <c r="M411" s="17"/>
      <c r="N411" s="17"/>
    </row>
    <row r="412" spans="13:14" x14ac:dyDescent="0.25">
      <c r="M412" s="17"/>
      <c r="N412" s="17"/>
    </row>
    <row r="413" spans="13:14" x14ac:dyDescent="0.25">
      <c r="M413" s="17"/>
      <c r="N413" s="17"/>
    </row>
    <row r="414" spans="13:14" x14ac:dyDescent="0.25">
      <c r="M414" s="17"/>
      <c r="N414" s="17"/>
    </row>
    <row r="415" spans="13:14" x14ac:dyDescent="0.25">
      <c r="M415" s="17"/>
      <c r="N415" s="17"/>
    </row>
    <row r="416" spans="13:14" x14ac:dyDescent="0.25">
      <c r="M416" s="17"/>
      <c r="N416" s="17"/>
    </row>
    <row r="417" spans="13:14" x14ac:dyDescent="0.25">
      <c r="M417" s="17"/>
      <c r="N417" s="17"/>
    </row>
    <row r="418" spans="13:14" x14ac:dyDescent="0.25">
      <c r="M418" s="17"/>
      <c r="N418" s="17"/>
    </row>
    <row r="419" spans="13:14" x14ac:dyDescent="0.25">
      <c r="M419" s="17"/>
      <c r="N419" s="17"/>
    </row>
    <row r="420" spans="13:14" x14ac:dyDescent="0.25">
      <c r="M420" s="17"/>
      <c r="N420" s="17"/>
    </row>
    <row r="421" spans="13:14" x14ac:dyDescent="0.25">
      <c r="M421" s="17"/>
      <c r="N421" s="17"/>
    </row>
    <row r="422" spans="13:14" x14ac:dyDescent="0.25">
      <c r="M422" s="17"/>
      <c r="N422" s="17"/>
    </row>
    <row r="423" spans="13:14" x14ac:dyDescent="0.25">
      <c r="M423" s="17"/>
      <c r="N423" s="17"/>
    </row>
    <row r="424" spans="13:14" x14ac:dyDescent="0.25">
      <c r="M424" s="17"/>
      <c r="N424" s="17"/>
    </row>
    <row r="425" spans="13:14" x14ac:dyDescent="0.25">
      <c r="M425" s="17"/>
      <c r="N425" s="17"/>
    </row>
    <row r="426" spans="13:14" x14ac:dyDescent="0.25">
      <c r="M426" s="17"/>
      <c r="N426" s="17"/>
    </row>
    <row r="427" spans="13:14" x14ac:dyDescent="0.25">
      <c r="M427" s="17"/>
      <c r="N427" s="17"/>
    </row>
    <row r="428" spans="13:14" x14ac:dyDescent="0.25">
      <c r="M428" s="17"/>
      <c r="N428" s="17"/>
    </row>
    <row r="429" spans="13:14" x14ac:dyDescent="0.25">
      <c r="M429" s="17"/>
      <c r="N429" s="17"/>
    </row>
    <row r="430" spans="13:14" x14ac:dyDescent="0.25">
      <c r="M430" s="17"/>
      <c r="N430" s="17"/>
    </row>
    <row r="431" spans="13:14" x14ac:dyDescent="0.25">
      <c r="M431" s="17"/>
      <c r="N431" s="17"/>
    </row>
    <row r="432" spans="13:14" x14ac:dyDescent="0.25">
      <c r="M432" s="17"/>
      <c r="N432" s="17"/>
    </row>
    <row r="433" spans="13:14" x14ac:dyDescent="0.25">
      <c r="M433" s="17"/>
      <c r="N433" s="17"/>
    </row>
    <row r="434" spans="13:14" x14ac:dyDescent="0.25">
      <c r="M434" s="17"/>
      <c r="N434" s="17"/>
    </row>
    <row r="435" spans="13:14" x14ac:dyDescent="0.25">
      <c r="M435" s="17"/>
      <c r="N435" s="17"/>
    </row>
    <row r="436" spans="13:14" x14ac:dyDescent="0.25">
      <c r="M436" s="17"/>
      <c r="N436" s="17"/>
    </row>
    <row r="437" spans="13:14" x14ac:dyDescent="0.25">
      <c r="M437" s="17"/>
      <c r="N437" s="17"/>
    </row>
    <row r="438" spans="13:14" x14ac:dyDescent="0.25">
      <c r="M438" s="17"/>
      <c r="N438" s="17"/>
    </row>
    <row r="439" spans="13:14" x14ac:dyDescent="0.25">
      <c r="M439" s="17"/>
      <c r="N439" s="17"/>
    </row>
    <row r="440" spans="13:14" x14ac:dyDescent="0.25">
      <c r="M440" s="17"/>
      <c r="N440" s="17"/>
    </row>
    <row r="441" spans="13:14" x14ac:dyDescent="0.25">
      <c r="M441" s="17"/>
      <c r="N441" s="17"/>
    </row>
    <row r="442" spans="13:14" x14ac:dyDescent="0.25">
      <c r="M442" s="17"/>
      <c r="N442" s="17"/>
    </row>
    <row r="443" spans="13:14" x14ac:dyDescent="0.25">
      <c r="M443" s="17"/>
      <c r="N443" s="17"/>
    </row>
    <row r="444" spans="13:14" x14ac:dyDescent="0.25">
      <c r="M444" s="17"/>
      <c r="N444" s="17"/>
    </row>
    <row r="445" spans="13:14" x14ac:dyDescent="0.25">
      <c r="M445" s="17"/>
      <c r="N445" s="17"/>
    </row>
    <row r="446" spans="13:14" x14ac:dyDescent="0.25">
      <c r="M446" s="17"/>
      <c r="N446" s="17"/>
    </row>
    <row r="447" spans="13:14" x14ac:dyDescent="0.25">
      <c r="M447" s="17"/>
      <c r="N447" s="17"/>
    </row>
    <row r="448" spans="13:14" x14ac:dyDescent="0.25">
      <c r="M448" s="17"/>
      <c r="N448" s="17"/>
    </row>
    <row r="449" spans="13:14" x14ac:dyDescent="0.25">
      <c r="M449" s="17"/>
      <c r="N449" s="17"/>
    </row>
    <row r="450" spans="13:14" x14ac:dyDescent="0.25">
      <c r="M450" s="17"/>
      <c r="N450" s="17"/>
    </row>
    <row r="451" spans="13:14" x14ac:dyDescent="0.25">
      <c r="M451" s="17"/>
      <c r="N451" s="17"/>
    </row>
    <row r="452" spans="13:14" x14ac:dyDescent="0.25">
      <c r="M452" s="17"/>
      <c r="N452" s="17"/>
    </row>
    <row r="453" spans="13:14" x14ac:dyDescent="0.25">
      <c r="M453" s="17"/>
      <c r="N453" s="17"/>
    </row>
    <row r="454" spans="13:14" x14ac:dyDescent="0.25">
      <c r="M454" s="17"/>
      <c r="N454" s="17"/>
    </row>
    <row r="455" spans="13:14" x14ac:dyDescent="0.25">
      <c r="M455" s="17"/>
      <c r="N455" s="17"/>
    </row>
    <row r="456" spans="13:14" x14ac:dyDescent="0.25">
      <c r="M456" s="17"/>
      <c r="N456" s="17"/>
    </row>
    <row r="457" spans="13:14" x14ac:dyDescent="0.25">
      <c r="M457" s="17"/>
      <c r="N457" s="17"/>
    </row>
    <row r="458" spans="13:14" x14ac:dyDescent="0.25">
      <c r="M458" s="17"/>
      <c r="N458" s="17"/>
    </row>
    <row r="459" spans="13:14" x14ac:dyDescent="0.25">
      <c r="M459" s="17"/>
      <c r="N459" s="17"/>
    </row>
    <row r="460" spans="13:14" x14ac:dyDescent="0.25">
      <c r="M460" s="17"/>
      <c r="N460" s="17"/>
    </row>
    <row r="461" spans="13:14" x14ac:dyDescent="0.25">
      <c r="M461" s="17"/>
      <c r="N461" s="17"/>
    </row>
    <row r="462" spans="13:14" x14ac:dyDescent="0.25">
      <c r="M462" s="17"/>
      <c r="N462" s="17"/>
    </row>
    <row r="463" spans="13:14" x14ac:dyDescent="0.25">
      <c r="M463" s="17"/>
      <c r="N463" s="17"/>
    </row>
    <row r="464" spans="13:14" x14ac:dyDescent="0.25">
      <c r="M464" s="17"/>
      <c r="N464" s="17"/>
    </row>
    <row r="465" spans="13:14" x14ac:dyDescent="0.25">
      <c r="M465" s="17"/>
      <c r="N465" s="17"/>
    </row>
    <row r="466" spans="13:14" x14ac:dyDescent="0.25">
      <c r="M466" s="17"/>
      <c r="N466" s="17"/>
    </row>
    <row r="467" spans="13:14" x14ac:dyDescent="0.25">
      <c r="M467" s="17"/>
      <c r="N467" s="17"/>
    </row>
    <row r="468" spans="13:14" x14ac:dyDescent="0.25">
      <c r="M468" s="17"/>
      <c r="N468" s="17"/>
    </row>
    <row r="469" spans="13:14" x14ac:dyDescent="0.25">
      <c r="M469" s="17"/>
      <c r="N469" s="17"/>
    </row>
    <row r="470" spans="13:14" x14ac:dyDescent="0.25">
      <c r="M470" s="17"/>
      <c r="N470" s="17"/>
    </row>
    <row r="471" spans="13:14" x14ac:dyDescent="0.25">
      <c r="M471" s="17"/>
      <c r="N471" s="17"/>
    </row>
    <row r="472" spans="13:14" x14ac:dyDescent="0.25">
      <c r="M472" s="17"/>
      <c r="N472" s="17"/>
    </row>
    <row r="473" spans="13:14" x14ac:dyDescent="0.25">
      <c r="M473" s="17"/>
      <c r="N473" s="17"/>
    </row>
    <row r="474" spans="13:14" x14ac:dyDescent="0.25">
      <c r="M474" s="17"/>
      <c r="N474" s="17"/>
    </row>
    <row r="475" spans="13:14" x14ac:dyDescent="0.25">
      <c r="M475" s="17"/>
      <c r="N475" s="17"/>
    </row>
    <row r="476" spans="13:14" x14ac:dyDescent="0.25">
      <c r="M476" s="17"/>
      <c r="N476" s="17"/>
    </row>
    <row r="477" spans="13:14" x14ac:dyDescent="0.25">
      <c r="M477" s="17"/>
      <c r="N477" s="17"/>
    </row>
    <row r="478" spans="13:14" x14ac:dyDescent="0.25">
      <c r="M478" s="17"/>
      <c r="N478" s="17"/>
    </row>
    <row r="479" spans="13:14" x14ac:dyDescent="0.25">
      <c r="M479" s="17"/>
      <c r="N479" s="17"/>
    </row>
    <row r="480" spans="13:14" x14ac:dyDescent="0.25">
      <c r="M480" s="17"/>
      <c r="N480" s="17"/>
    </row>
    <row r="481" spans="13:14" x14ac:dyDescent="0.25">
      <c r="M481" s="17"/>
      <c r="N481" s="17"/>
    </row>
    <row r="482" spans="13:14" x14ac:dyDescent="0.25">
      <c r="M482" s="17"/>
      <c r="N482" s="17"/>
    </row>
    <row r="483" spans="13:14" x14ac:dyDescent="0.25">
      <c r="M483" s="17"/>
      <c r="N483" s="17"/>
    </row>
    <row r="484" spans="13:14" x14ac:dyDescent="0.25">
      <c r="M484" s="17"/>
      <c r="N484" s="17"/>
    </row>
    <row r="485" spans="13:14" x14ac:dyDescent="0.25">
      <c r="M485" s="17"/>
      <c r="N485" s="17"/>
    </row>
    <row r="486" spans="13:14" x14ac:dyDescent="0.25">
      <c r="M486" s="17"/>
      <c r="N486" s="17"/>
    </row>
    <row r="487" spans="13:14" x14ac:dyDescent="0.25">
      <c r="M487" s="17"/>
      <c r="N487" s="17"/>
    </row>
    <row r="488" spans="13:14" x14ac:dyDescent="0.25">
      <c r="M488" s="17"/>
      <c r="N488" s="17"/>
    </row>
    <row r="489" spans="13:14" x14ac:dyDescent="0.25">
      <c r="M489" s="17"/>
      <c r="N489" s="17"/>
    </row>
    <row r="490" spans="13:14" x14ac:dyDescent="0.25">
      <c r="M490" s="17"/>
      <c r="N490" s="17"/>
    </row>
    <row r="491" spans="13:14" x14ac:dyDescent="0.25">
      <c r="M491" s="17"/>
      <c r="N491" s="17"/>
    </row>
    <row r="492" spans="13:14" x14ac:dyDescent="0.25">
      <c r="M492" s="17"/>
      <c r="N492" s="17"/>
    </row>
    <row r="493" spans="13:14" x14ac:dyDescent="0.25">
      <c r="M493" s="17"/>
      <c r="N493" s="17"/>
    </row>
    <row r="494" spans="13:14" x14ac:dyDescent="0.25">
      <c r="M494" s="17"/>
      <c r="N494" s="17"/>
    </row>
    <row r="495" spans="13:14" x14ac:dyDescent="0.25">
      <c r="M495" s="17"/>
      <c r="N495" s="17"/>
    </row>
    <row r="496" spans="13:14" x14ac:dyDescent="0.25">
      <c r="M496" s="17"/>
      <c r="N496" s="17"/>
    </row>
    <row r="497" spans="13:14" x14ac:dyDescent="0.25">
      <c r="M497" s="17"/>
      <c r="N497" s="17"/>
    </row>
    <row r="498" spans="13:14" x14ac:dyDescent="0.25">
      <c r="M498" s="17"/>
      <c r="N498" s="17"/>
    </row>
    <row r="499" spans="13:14" x14ac:dyDescent="0.25">
      <c r="M499" s="17"/>
      <c r="N499" s="17"/>
    </row>
    <row r="500" spans="13:14" x14ac:dyDescent="0.25">
      <c r="M500" s="17"/>
      <c r="N500" s="17"/>
    </row>
    <row r="501" spans="13:14" x14ac:dyDescent="0.25">
      <c r="M501" s="17"/>
      <c r="N501" s="17"/>
    </row>
    <row r="502" spans="13:14" x14ac:dyDescent="0.25">
      <c r="M502" s="17"/>
      <c r="N502" s="17"/>
    </row>
    <row r="503" spans="13:14" x14ac:dyDescent="0.25">
      <c r="M503" s="17"/>
      <c r="N503" s="17"/>
    </row>
    <row r="504" spans="13:14" x14ac:dyDescent="0.25">
      <c r="M504" s="17"/>
      <c r="N504" s="17"/>
    </row>
    <row r="505" spans="13:14" x14ac:dyDescent="0.25">
      <c r="M505" s="17"/>
      <c r="N505" s="17"/>
    </row>
    <row r="506" spans="13:14" x14ac:dyDescent="0.25">
      <c r="M506" s="17"/>
      <c r="N506" s="17"/>
    </row>
    <row r="507" spans="13:14" x14ac:dyDescent="0.25">
      <c r="M507" s="17"/>
      <c r="N507" s="17"/>
    </row>
    <row r="508" spans="13:14" x14ac:dyDescent="0.25">
      <c r="M508" s="17"/>
      <c r="N508" s="17"/>
    </row>
    <row r="509" spans="13:14" x14ac:dyDescent="0.25">
      <c r="M509" s="17"/>
      <c r="N509" s="17"/>
    </row>
    <row r="510" spans="13:14" x14ac:dyDescent="0.25">
      <c r="M510" s="17"/>
      <c r="N510" s="17"/>
    </row>
    <row r="511" spans="13:14" x14ac:dyDescent="0.25">
      <c r="M511" s="17"/>
      <c r="N511" s="17"/>
    </row>
    <row r="512" spans="13:14" x14ac:dyDescent="0.25">
      <c r="M512" s="17"/>
      <c r="N512" s="17"/>
    </row>
    <row r="513" spans="13:14" x14ac:dyDescent="0.25">
      <c r="M513" s="17"/>
      <c r="N513" s="17"/>
    </row>
    <row r="514" spans="13:14" x14ac:dyDescent="0.25">
      <c r="M514" s="17"/>
      <c r="N514" s="17"/>
    </row>
    <row r="515" spans="13:14" x14ac:dyDescent="0.25">
      <c r="M515" s="17"/>
      <c r="N515" s="17"/>
    </row>
    <row r="516" spans="13:14" x14ac:dyDescent="0.25">
      <c r="M516" s="17"/>
      <c r="N516" s="17"/>
    </row>
    <row r="517" spans="13:14" x14ac:dyDescent="0.25">
      <c r="M517" s="17"/>
      <c r="N517" s="17"/>
    </row>
    <row r="518" spans="13:14" x14ac:dyDescent="0.25">
      <c r="M518" s="17"/>
      <c r="N518" s="17"/>
    </row>
    <row r="519" spans="13:14" x14ac:dyDescent="0.25">
      <c r="M519" s="17"/>
      <c r="N519" s="17"/>
    </row>
    <row r="520" spans="13:14" x14ac:dyDescent="0.25">
      <c r="M520" s="17"/>
      <c r="N520" s="17"/>
    </row>
    <row r="521" spans="13:14" x14ac:dyDescent="0.25">
      <c r="M521" s="17"/>
      <c r="N521" s="17"/>
    </row>
    <row r="522" spans="13:14" x14ac:dyDescent="0.25">
      <c r="M522" s="17"/>
      <c r="N522" s="17"/>
    </row>
    <row r="523" spans="13:14" x14ac:dyDescent="0.25">
      <c r="M523" s="17"/>
      <c r="N523" s="17"/>
    </row>
    <row r="524" spans="13:14" x14ac:dyDescent="0.25">
      <c r="M524" s="17"/>
      <c r="N524" s="17"/>
    </row>
    <row r="525" spans="13:14" x14ac:dyDescent="0.25">
      <c r="M525" s="17"/>
      <c r="N525" s="17"/>
    </row>
    <row r="526" spans="13:14" x14ac:dyDescent="0.25">
      <c r="M526" s="17"/>
      <c r="N526" s="17"/>
    </row>
    <row r="527" spans="13:14" x14ac:dyDescent="0.25">
      <c r="M527" s="17"/>
      <c r="N527" s="17"/>
    </row>
    <row r="528" spans="13:14" x14ac:dyDescent="0.25">
      <c r="M528" s="17"/>
      <c r="N528" s="17"/>
    </row>
    <row r="529" spans="13:14" x14ac:dyDescent="0.25">
      <c r="M529" s="17"/>
      <c r="N529" s="17"/>
    </row>
    <row r="530" spans="13:14" x14ac:dyDescent="0.25">
      <c r="M530" s="17"/>
      <c r="N530" s="17"/>
    </row>
    <row r="531" spans="13:14" x14ac:dyDescent="0.25">
      <c r="M531" s="17"/>
      <c r="N531" s="17"/>
    </row>
    <row r="532" spans="13:14" x14ac:dyDescent="0.25">
      <c r="M532" s="17"/>
      <c r="N532" s="17"/>
    </row>
  </sheetData>
  <autoFilter ref="L1:N532"/>
  <mergeCells count="170">
    <mergeCell ref="A66:A67"/>
    <mergeCell ref="B66:B67"/>
    <mergeCell ref="C66:C67"/>
    <mergeCell ref="D66:D67"/>
    <mergeCell ref="E66:E67"/>
    <mergeCell ref="F66:F67"/>
    <mergeCell ref="A64:A65"/>
    <mergeCell ref="B64:B65"/>
    <mergeCell ref="C64:C65"/>
    <mergeCell ref="D64:D65"/>
    <mergeCell ref="E64:E65"/>
    <mergeCell ref="F64:F65"/>
    <mergeCell ref="A62:A63"/>
    <mergeCell ref="B62:B63"/>
    <mergeCell ref="C62:C63"/>
    <mergeCell ref="D62:D63"/>
    <mergeCell ref="E62:E63"/>
    <mergeCell ref="F62:F63"/>
    <mergeCell ref="A58:A59"/>
    <mergeCell ref="B58:B59"/>
    <mergeCell ref="C58:C59"/>
    <mergeCell ref="D58:D59"/>
    <mergeCell ref="E58:E59"/>
    <mergeCell ref="F58:F59"/>
    <mergeCell ref="A54:A55"/>
    <mergeCell ref="B54:B55"/>
    <mergeCell ref="C54:C55"/>
    <mergeCell ref="D54:D55"/>
    <mergeCell ref="E54:E55"/>
    <mergeCell ref="F54:F55"/>
    <mergeCell ref="A56:A57"/>
    <mergeCell ref="B56:B57"/>
    <mergeCell ref="C56:C57"/>
    <mergeCell ref="D56:D57"/>
    <mergeCell ref="E56:E57"/>
    <mergeCell ref="F56:F57"/>
    <mergeCell ref="C51:C52"/>
    <mergeCell ref="D51:D52"/>
    <mergeCell ref="A51:A52"/>
    <mergeCell ref="B51:B52"/>
    <mergeCell ref="E51:E52"/>
    <mergeCell ref="F51:F52"/>
    <mergeCell ref="A3:A4"/>
    <mergeCell ref="B3:B4"/>
    <mergeCell ref="C3:C4"/>
    <mergeCell ref="D3:D4"/>
    <mergeCell ref="E3:E4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A9:A10"/>
    <mergeCell ref="B9:B10"/>
    <mergeCell ref="C9:C10"/>
    <mergeCell ref="D9:D10"/>
    <mergeCell ref="E9:E10"/>
    <mergeCell ref="K1:L1"/>
    <mergeCell ref="F9:F10"/>
    <mergeCell ref="A13:A14"/>
    <mergeCell ref="B13:B14"/>
    <mergeCell ref="C13:C14"/>
    <mergeCell ref="D13:D14"/>
    <mergeCell ref="E13:E14"/>
    <mergeCell ref="F11:F12"/>
    <mergeCell ref="F13:F14"/>
    <mergeCell ref="A11:A12"/>
    <mergeCell ref="B11:B12"/>
    <mergeCell ref="C11:C12"/>
    <mergeCell ref="D11:D12"/>
    <mergeCell ref="E11:E12"/>
    <mergeCell ref="A15:A16"/>
    <mergeCell ref="B15:B16"/>
    <mergeCell ref="C15:C16"/>
    <mergeCell ref="D15:D16"/>
    <mergeCell ref="E15:E16"/>
    <mergeCell ref="F15:F16"/>
    <mergeCell ref="A17:A18"/>
    <mergeCell ref="B17:B18"/>
    <mergeCell ref="C17:C18"/>
    <mergeCell ref="D17:D18"/>
    <mergeCell ref="E17:E18"/>
    <mergeCell ref="F17:F18"/>
    <mergeCell ref="A22:A23"/>
    <mergeCell ref="B22:B23"/>
    <mergeCell ref="C22:C23"/>
    <mergeCell ref="D22:D23"/>
    <mergeCell ref="E22:E23"/>
    <mergeCell ref="F22:F23"/>
    <mergeCell ref="A20:A21"/>
    <mergeCell ref="B20:B21"/>
    <mergeCell ref="C20:C21"/>
    <mergeCell ref="D20:D21"/>
    <mergeCell ref="E20:E21"/>
    <mergeCell ref="F20:F21"/>
    <mergeCell ref="A28:A29"/>
    <mergeCell ref="B28:B29"/>
    <mergeCell ref="C28:C29"/>
    <mergeCell ref="D28:D29"/>
    <mergeCell ref="E28:E29"/>
    <mergeCell ref="F28:F29"/>
    <mergeCell ref="A24:A25"/>
    <mergeCell ref="B24:B25"/>
    <mergeCell ref="C24:C25"/>
    <mergeCell ref="D24:D25"/>
    <mergeCell ref="E24:E25"/>
    <mergeCell ref="F24:F25"/>
    <mergeCell ref="A32:A33"/>
    <mergeCell ref="B32:B33"/>
    <mergeCell ref="C32:C33"/>
    <mergeCell ref="D32:D33"/>
    <mergeCell ref="E32:E33"/>
    <mergeCell ref="F32:F33"/>
    <mergeCell ref="A30:A31"/>
    <mergeCell ref="B30:B31"/>
    <mergeCell ref="C30:C31"/>
    <mergeCell ref="D30:D31"/>
    <mergeCell ref="E30:E31"/>
    <mergeCell ref="F30:F31"/>
    <mergeCell ref="A37:A38"/>
    <mergeCell ref="B37:B38"/>
    <mergeCell ref="C37:C38"/>
    <mergeCell ref="D37:D38"/>
    <mergeCell ref="E37:E38"/>
    <mergeCell ref="F37:F38"/>
    <mergeCell ref="A34:A35"/>
    <mergeCell ref="B34:B35"/>
    <mergeCell ref="C34:C35"/>
    <mergeCell ref="D34:D35"/>
    <mergeCell ref="E34:E35"/>
    <mergeCell ref="F34:F35"/>
    <mergeCell ref="C41:C42"/>
    <mergeCell ref="D41:D42"/>
    <mergeCell ref="E41:E42"/>
    <mergeCell ref="F41:F42"/>
    <mergeCell ref="A39:A40"/>
    <mergeCell ref="B39:B40"/>
    <mergeCell ref="C39:C40"/>
    <mergeCell ref="D39:D40"/>
    <mergeCell ref="E39:E40"/>
    <mergeCell ref="F39:F40"/>
    <mergeCell ref="A68:G68"/>
    <mergeCell ref="F3:F4"/>
    <mergeCell ref="F5:F6"/>
    <mergeCell ref="F7:F8"/>
    <mergeCell ref="A47:A48"/>
    <mergeCell ref="B47:B48"/>
    <mergeCell ref="C47:C48"/>
    <mergeCell ref="D47:D48"/>
    <mergeCell ref="E47:E48"/>
    <mergeCell ref="F47:F48"/>
    <mergeCell ref="A45:A46"/>
    <mergeCell ref="B45:B46"/>
    <mergeCell ref="C45:C46"/>
    <mergeCell ref="D45:D46"/>
    <mergeCell ref="E45:E46"/>
    <mergeCell ref="F45:F46"/>
    <mergeCell ref="A43:A44"/>
    <mergeCell ref="B43:B44"/>
    <mergeCell ref="C43:C44"/>
    <mergeCell ref="D43:D44"/>
    <mergeCell ref="E43:E44"/>
    <mergeCell ref="F43:F44"/>
    <mergeCell ref="A41:A42"/>
    <mergeCell ref="B41:B4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2" orientation="portrait" horizont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ColWidth="9.109375" defaultRowHeight="10.199999999999999" x14ac:dyDescent="0.25"/>
  <cols>
    <col min="1" max="1" width="4.109375" style="47" bestFit="1" customWidth="1"/>
    <col min="2" max="2" width="17.6640625" style="47" customWidth="1"/>
    <col min="3" max="3" width="17.33203125" style="47" customWidth="1"/>
    <col min="4" max="4" width="20.33203125" style="47" customWidth="1"/>
    <col min="5" max="5" width="10.5546875" style="69" customWidth="1"/>
    <col min="6" max="6" width="16.109375" style="47" customWidth="1"/>
    <col min="7" max="8" width="12.6640625" style="70" customWidth="1"/>
    <col min="9" max="9" width="21.33203125" style="47" customWidth="1"/>
    <col min="10" max="10" width="10.6640625" style="71" customWidth="1"/>
    <col min="11" max="12" width="13.44140625" style="73" customWidth="1"/>
    <col min="13" max="13" width="11" style="47" customWidth="1"/>
    <col min="14" max="16384" width="9.109375" style="47"/>
  </cols>
  <sheetData>
    <row r="1" spans="1:13" ht="16.95" customHeight="1" x14ac:dyDescent="0.25">
      <c r="A1" s="42" t="s">
        <v>122</v>
      </c>
      <c r="B1" s="42"/>
      <c r="C1" s="42"/>
      <c r="D1" s="42"/>
      <c r="E1" s="42"/>
      <c r="F1" s="42"/>
      <c r="G1" s="42"/>
      <c r="H1" s="43">
        <v>45930</v>
      </c>
      <c r="I1" s="160" t="s">
        <v>123</v>
      </c>
      <c r="J1" s="160"/>
      <c r="K1" s="44" t="s">
        <v>124</v>
      </c>
      <c r="L1" s="45">
        <v>4.3479999999999999</v>
      </c>
      <c r="M1" s="46"/>
    </row>
    <row r="2" spans="1:13" ht="31.95" customHeight="1" x14ac:dyDescent="0.25">
      <c r="A2" s="48" t="s">
        <v>0</v>
      </c>
      <c r="B2" s="48" t="s">
        <v>1</v>
      </c>
      <c r="C2" s="48" t="s">
        <v>3</v>
      </c>
      <c r="D2" s="49" t="s">
        <v>127</v>
      </c>
      <c r="E2" s="50" t="s">
        <v>5</v>
      </c>
      <c r="F2" s="49" t="s">
        <v>126</v>
      </c>
      <c r="G2" s="51" t="s">
        <v>119</v>
      </c>
      <c r="H2" s="48" t="s">
        <v>120</v>
      </c>
      <c r="I2" s="48" t="s">
        <v>4</v>
      </c>
      <c r="J2" s="50" t="s">
        <v>115</v>
      </c>
      <c r="K2" s="52" t="s">
        <v>114</v>
      </c>
      <c r="L2" s="52" t="s">
        <v>113</v>
      </c>
      <c r="M2" s="53"/>
    </row>
    <row r="3" spans="1:13" ht="22.2" customHeight="1" x14ac:dyDescent="0.25">
      <c r="A3" s="161">
        <v>1</v>
      </c>
      <c r="B3" s="162" t="s">
        <v>128</v>
      </c>
      <c r="C3" s="163" t="s">
        <v>129</v>
      </c>
      <c r="D3" s="164">
        <v>44734</v>
      </c>
      <c r="E3" s="165"/>
      <c r="F3" s="54" t="s">
        <v>19</v>
      </c>
      <c r="G3" s="55">
        <v>100909.2</v>
      </c>
      <c r="H3" s="55"/>
      <c r="I3" s="56">
        <v>44834</v>
      </c>
      <c r="J3" s="57">
        <v>44834</v>
      </c>
      <c r="K3" s="58">
        <f>IF(J3&gt;$H$1,"",G3)</f>
        <v>100909.2</v>
      </c>
      <c r="L3" s="58" t="str">
        <f>IF(J3&lt;$H$1,"",G3)</f>
        <v/>
      </c>
      <c r="M3" s="59"/>
    </row>
    <row r="4" spans="1:13" ht="22.2" customHeight="1" x14ac:dyDescent="0.25">
      <c r="A4" s="161"/>
      <c r="B4" s="162"/>
      <c r="C4" s="163"/>
      <c r="D4" s="164"/>
      <c r="E4" s="165"/>
      <c r="F4" s="54" t="s">
        <v>21</v>
      </c>
      <c r="G4" s="55">
        <v>43246.8</v>
      </c>
      <c r="H4" s="55"/>
      <c r="I4" s="56" t="s">
        <v>9</v>
      </c>
      <c r="J4" s="60">
        <v>46560</v>
      </c>
      <c r="K4" s="58" t="str">
        <f>IF(J4&gt;$H$1,"",G4)</f>
        <v/>
      </c>
      <c r="L4" s="58">
        <f>IF(J4&lt;$H$1,"",G4)</f>
        <v>43246.8</v>
      </c>
      <c r="M4" s="59"/>
    </row>
    <row r="5" spans="1:13" ht="21" customHeight="1" x14ac:dyDescent="0.25">
      <c r="A5" s="163"/>
      <c r="B5" s="162"/>
      <c r="C5" s="166"/>
      <c r="D5" s="164"/>
      <c r="E5" s="165"/>
      <c r="F5" s="54"/>
      <c r="G5" s="55"/>
      <c r="H5" s="55"/>
      <c r="I5" s="56"/>
      <c r="J5" s="57"/>
      <c r="K5" s="58">
        <f>IF(J5&gt;$H$1,"",G5)</f>
        <v>0</v>
      </c>
      <c r="L5" s="58" t="str">
        <f>IF(J5&lt;$H$1,"",G5)</f>
        <v/>
      </c>
      <c r="M5" s="61"/>
    </row>
    <row r="6" spans="1:13" ht="21" customHeight="1" x14ac:dyDescent="0.25">
      <c r="A6" s="163"/>
      <c r="B6" s="162"/>
      <c r="C6" s="166"/>
      <c r="D6" s="164"/>
      <c r="E6" s="165"/>
      <c r="F6" s="54"/>
      <c r="G6" s="55"/>
      <c r="H6" s="55"/>
      <c r="I6" s="56"/>
      <c r="J6" s="57"/>
      <c r="K6" s="58">
        <f>IF(J6&gt;$H$1,"",G6)</f>
        <v>0</v>
      </c>
      <c r="L6" s="58" t="str">
        <f>IF(J6&lt;$H$1,"",G6)</f>
        <v/>
      </c>
      <c r="M6" s="61"/>
    </row>
    <row r="7" spans="1:13" ht="36.6" customHeight="1" x14ac:dyDescent="0.25">
      <c r="A7" s="62"/>
      <c r="B7" s="63"/>
      <c r="C7" s="64"/>
      <c r="D7" s="54"/>
      <c r="E7" s="65"/>
      <c r="F7" s="54"/>
      <c r="G7" s="55"/>
      <c r="H7" s="55"/>
      <c r="I7" s="56"/>
      <c r="J7" s="57"/>
      <c r="K7" s="58">
        <f>IF(J7&gt;$H$1,"",G7)</f>
        <v>0</v>
      </c>
      <c r="L7" s="58" t="str">
        <f>IF(J7&lt;$H$1,"",G7)</f>
        <v/>
      </c>
      <c r="M7" s="59"/>
    </row>
    <row r="8" spans="1:13" ht="27.75" customHeight="1" x14ac:dyDescent="0.25">
      <c r="A8" s="159" t="s">
        <v>125</v>
      </c>
      <c r="B8" s="159"/>
      <c r="C8" s="159"/>
      <c r="D8" s="159"/>
      <c r="E8" s="159"/>
      <c r="F8" s="159"/>
      <c r="G8" s="66">
        <f>SUM(G3:G7)</f>
        <v>144156</v>
      </c>
      <c r="H8" s="66">
        <f>SUM(H3:H7)</f>
        <v>0</v>
      </c>
      <c r="I8" s="67"/>
      <c r="J8" s="67"/>
      <c r="K8" s="66">
        <f t="shared" ref="K8:L8" si="0">SUM(K3:K7)</f>
        <v>100909.2</v>
      </c>
      <c r="L8" s="66">
        <f t="shared" si="0"/>
        <v>43246.8</v>
      </c>
      <c r="M8" s="68">
        <f>K8+L8-G8</f>
        <v>0</v>
      </c>
    </row>
    <row r="9" spans="1:13" x14ac:dyDescent="0.25">
      <c r="K9" s="72"/>
      <c r="L9" s="72"/>
    </row>
    <row r="10" spans="1:13" x14ac:dyDescent="0.25">
      <c r="K10" s="72"/>
      <c r="L10" s="72"/>
    </row>
    <row r="11" spans="1:13" x14ac:dyDescent="0.25">
      <c r="K11" s="72"/>
      <c r="L11" s="72"/>
    </row>
    <row r="12" spans="1:13" x14ac:dyDescent="0.25">
      <c r="K12" s="72"/>
      <c r="L12" s="72"/>
    </row>
    <row r="13" spans="1:13" x14ac:dyDescent="0.25">
      <c r="K13" s="72"/>
      <c r="L13" s="72"/>
    </row>
    <row r="14" spans="1:13" x14ac:dyDescent="0.25">
      <c r="K14" s="72"/>
      <c r="L14" s="72"/>
    </row>
    <row r="15" spans="1:13" x14ac:dyDescent="0.25">
      <c r="K15" s="72"/>
      <c r="L15" s="72"/>
    </row>
    <row r="16" spans="1:13" x14ac:dyDescent="0.25">
      <c r="K16" s="72"/>
      <c r="L16" s="72"/>
    </row>
    <row r="17" spans="11:12" x14ac:dyDescent="0.25">
      <c r="K17" s="72"/>
      <c r="L17" s="72"/>
    </row>
    <row r="18" spans="11:12" x14ac:dyDescent="0.25">
      <c r="K18" s="72"/>
      <c r="L18" s="72"/>
    </row>
    <row r="19" spans="11:12" x14ac:dyDescent="0.25">
      <c r="K19" s="72"/>
      <c r="L19" s="72"/>
    </row>
    <row r="20" spans="11:12" x14ac:dyDescent="0.25">
      <c r="K20" s="72"/>
      <c r="L20" s="72"/>
    </row>
    <row r="21" spans="11:12" x14ac:dyDescent="0.25">
      <c r="K21" s="72"/>
      <c r="L21" s="72"/>
    </row>
    <row r="22" spans="11:12" x14ac:dyDescent="0.25">
      <c r="K22" s="72"/>
      <c r="L22" s="72"/>
    </row>
    <row r="23" spans="11:12" x14ac:dyDescent="0.25">
      <c r="K23" s="72"/>
      <c r="L23" s="72"/>
    </row>
    <row r="24" spans="11:12" x14ac:dyDescent="0.25">
      <c r="K24" s="72"/>
      <c r="L24" s="72"/>
    </row>
    <row r="25" spans="11:12" x14ac:dyDescent="0.25">
      <c r="K25" s="72"/>
      <c r="L25" s="72"/>
    </row>
    <row r="26" spans="11:12" x14ac:dyDescent="0.25">
      <c r="K26" s="72"/>
      <c r="L26" s="72"/>
    </row>
    <row r="27" spans="11:12" x14ac:dyDescent="0.25">
      <c r="K27" s="72"/>
      <c r="L27" s="72"/>
    </row>
    <row r="28" spans="11:12" x14ac:dyDescent="0.25">
      <c r="K28" s="72"/>
      <c r="L28" s="72"/>
    </row>
    <row r="29" spans="11:12" x14ac:dyDescent="0.25">
      <c r="K29" s="72"/>
      <c r="L29" s="72"/>
    </row>
    <row r="30" spans="11:12" x14ac:dyDescent="0.25">
      <c r="K30" s="72"/>
      <c r="L30" s="72"/>
    </row>
    <row r="31" spans="11:12" x14ac:dyDescent="0.25">
      <c r="K31" s="72"/>
      <c r="L31" s="72"/>
    </row>
    <row r="32" spans="11:12" x14ac:dyDescent="0.25">
      <c r="K32" s="72"/>
      <c r="L32" s="72"/>
    </row>
    <row r="33" spans="11:12" x14ac:dyDescent="0.25">
      <c r="K33" s="72"/>
      <c r="L33" s="72"/>
    </row>
    <row r="34" spans="11:12" x14ac:dyDescent="0.25">
      <c r="K34" s="72"/>
      <c r="L34" s="72"/>
    </row>
    <row r="35" spans="11:12" x14ac:dyDescent="0.25">
      <c r="K35" s="72"/>
      <c r="L35" s="72"/>
    </row>
    <row r="36" spans="11:12" x14ac:dyDescent="0.25">
      <c r="K36" s="72"/>
      <c r="L36" s="72"/>
    </row>
    <row r="37" spans="11:12" x14ac:dyDescent="0.25">
      <c r="K37" s="72"/>
      <c r="L37" s="72"/>
    </row>
    <row r="38" spans="11:12" x14ac:dyDescent="0.25">
      <c r="K38" s="72"/>
      <c r="L38" s="72"/>
    </row>
    <row r="39" spans="11:12" x14ac:dyDescent="0.25">
      <c r="K39" s="72"/>
      <c r="L39" s="72"/>
    </row>
    <row r="40" spans="11:12" x14ac:dyDescent="0.25">
      <c r="K40" s="72"/>
      <c r="L40" s="72"/>
    </row>
    <row r="41" spans="11:12" x14ac:dyDescent="0.25">
      <c r="K41" s="72"/>
      <c r="L41" s="72"/>
    </row>
    <row r="42" spans="11:12" x14ac:dyDescent="0.25">
      <c r="K42" s="72"/>
      <c r="L42" s="72"/>
    </row>
    <row r="43" spans="11:12" x14ac:dyDescent="0.25">
      <c r="K43" s="72"/>
      <c r="L43" s="72"/>
    </row>
    <row r="44" spans="11:12" x14ac:dyDescent="0.25">
      <c r="K44" s="72"/>
      <c r="L44" s="72"/>
    </row>
    <row r="45" spans="11:12" x14ac:dyDescent="0.25">
      <c r="K45" s="72"/>
      <c r="L45" s="72"/>
    </row>
    <row r="46" spans="11:12" x14ac:dyDescent="0.25">
      <c r="K46" s="72"/>
      <c r="L46" s="72"/>
    </row>
    <row r="47" spans="11:12" x14ac:dyDescent="0.25">
      <c r="K47" s="72"/>
      <c r="L47" s="72"/>
    </row>
    <row r="48" spans="11:12" x14ac:dyDescent="0.25">
      <c r="K48" s="72"/>
      <c r="L48" s="72"/>
    </row>
    <row r="49" spans="11:12" x14ac:dyDescent="0.25">
      <c r="K49" s="72"/>
      <c r="L49" s="72"/>
    </row>
    <row r="50" spans="11:12" x14ac:dyDescent="0.25">
      <c r="K50" s="72"/>
      <c r="L50" s="72"/>
    </row>
    <row r="51" spans="11:12" x14ac:dyDescent="0.25">
      <c r="K51" s="72"/>
      <c r="L51" s="72"/>
    </row>
    <row r="52" spans="11:12" x14ac:dyDescent="0.25">
      <c r="K52" s="72"/>
      <c r="L52" s="72"/>
    </row>
    <row r="53" spans="11:12" x14ac:dyDescent="0.25">
      <c r="K53" s="72"/>
      <c r="L53" s="72"/>
    </row>
    <row r="54" spans="11:12" x14ac:dyDescent="0.25">
      <c r="K54" s="72"/>
      <c r="L54" s="72"/>
    </row>
    <row r="55" spans="11:12" x14ac:dyDescent="0.25">
      <c r="K55" s="72"/>
      <c r="L55" s="72"/>
    </row>
    <row r="56" spans="11:12" x14ac:dyDescent="0.25">
      <c r="K56" s="72"/>
      <c r="L56" s="72"/>
    </row>
    <row r="57" spans="11:12" x14ac:dyDescent="0.25">
      <c r="K57" s="72"/>
      <c r="L57" s="72"/>
    </row>
    <row r="58" spans="11:12" x14ac:dyDescent="0.25">
      <c r="K58" s="72"/>
      <c r="L58" s="72"/>
    </row>
    <row r="59" spans="11:12" x14ac:dyDescent="0.25">
      <c r="K59" s="72"/>
      <c r="L59" s="72"/>
    </row>
    <row r="60" spans="11:12" x14ac:dyDescent="0.25">
      <c r="K60" s="72"/>
      <c r="L60" s="72"/>
    </row>
    <row r="61" spans="11:12" x14ac:dyDescent="0.25">
      <c r="K61" s="72"/>
      <c r="L61" s="72"/>
    </row>
    <row r="62" spans="11:12" x14ac:dyDescent="0.25">
      <c r="K62" s="72"/>
      <c r="L62" s="72"/>
    </row>
    <row r="63" spans="11:12" x14ac:dyDescent="0.25">
      <c r="K63" s="72"/>
      <c r="L63" s="72"/>
    </row>
    <row r="64" spans="11:12" x14ac:dyDescent="0.25">
      <c r="K64" s="72"/>
      <c r="L64" s="72"/>
    </row>
    <row r="65" spans="11:12" x14ac:dyDescent="0.25">
      <c r="K65" s="72"/>
      <c r="L65" s="72"/>
    </row>
    <row r="66" spans="11:12" x14ac:dyDescent="0.25">
      <c r="K66" s="72"/>
      <c r="L66" s="72"/>
    </row>
    <row r="67" spans="11:12" x14ac:dyDescent="0.25">
      <c r="K67" s="72"/>
      <c r="L67" s="72"/>
    </row>
    <row r="68" spans="11:12" x14ac:dyDescent="0.25">
      <c r="K68" s="72"/>
      <c r="L68" s="72"/>
    </row>
    <row r="69" spans="11:12" x14ac:dyDescent="0.25">
      <c r="K69" s="72"/>
      <c r="L69" s="72"/>
    </row>
    <row r="70" spans="11:12" x14ac:dyDescent="0.25">
      <c r="K70" s="72"/>
      <c r="L70" s="72"/>
    </row>
    <row r="71" spans="11:12" x14ac:dyDescent="0.25">
      <c r="K71" s="72"/>
      <c r="L71" s="72"/>
    </row>
    <row r="72" spans="11:12" x14ac:dyDescent="0.25">
      <c r="K72" s="72"/>
      <c r="L72" s="72"/>
    </row>
    <row r="73" spans="11:12" x14ac:dyDescent="0.25">
      <c r="K73" s="72"/>
      <c r="L73" s="72"/>
    </row>
    <row r="74" spans="11:12" x14ac:dyDescent="0.25">
      <c r="K74" s="72"/>
      <c r="L74" s="72"/>
    </row>
    <row r="75" spans="11:12" x14ac:dyDescent="0.25">
      <c r="K75" s="72"/>
      <c r="L75" s="72"/>
    </row>
    <row r="76" spans="11:12" x14ac:dyDescent="0.25">
      <c r="K76" s="72"/>
      <c r="L76" s="72"/>
    </row>
    <row r="77" spans="11:12" x14ac:dyDescent="0.25">
      <c r="K77" s="72"/>
      <c r="L77" s="72"/>
    </row>
    <row r="78" spans="11:12" x14ac:dyDescent="0.25">
      <c r="K78" s="72"/>
      <c r="L78" s="72"/>
    </row>
    <row r="79" spans="11:12" x14ac:dyDescent="0.25">
      <c r="K79" s="72"/>
      <c r="L79" s="72"/>
    </row>
    <row r="80" spans="11:12" x14ac:dyDescent="0.25">
      <c r="K80" s="72"/>
      <c r="L80" s="72"/>
    </row>
    <row r="81" spans="11:12" x14ac:dyDescent="0.25">
      <c r="K81" s="72"/>
      <c r="L81" s="72"/>
    </row>
    <row r="82" spans="11:12" x14ac:dyDescent="0.25">
      <c r="K82" s="72"/>
      <c r="L82" s="72"/>
    </row>
    <row r="83" spans="11:12" x14ac:dyDescent="0.25">
      <c r="K83" s="72"/>
      <c r="L83" s="72"/>
    </row>
    <row r="84" spans="11:12" x14ac:dyDescent="0.25">
      <c r="K84" s="72"/>
      <c r="L84" s="72"/>
    </row>
    <row r="85" spans="11:12" x14ac:dyDescent="0.25">
      <c r="K85" s="72"/>
      <c r="L85" s="72"/>
    </row>
    <row r="86" spans="11:12" x14ac:dyDescent="0.25">
      <c r="K86" s="72"/>
      <c r="L86" s="72"/>
    </row>
    <row r="87" spans="11:12" x14ac:dyDescent="0.25">
      <c r="K87" s="72"/>
      <c r="L87" s="72"/>
    </row>
    <row r="88" spans="11:12" x14ac:dyDescent="0.25">
      <c r="K88" s="72"/>
      <c r="L88" s="72"/>
    </row>
    <row r="89" spans="11:12" x14ac:dyDescent="0.25">
      <c r="K89" s="72"/>
      <c r="L89" s="72"/>
    </row>
    <row r="90" spans="11:12" x14ac:dyDescent="0.25">
      <c r="K90" s="72"/>
      <c r="L90" s="72"/>
    </row>
    <row r="91" spans="11:12" x14ac:dyDescent="0.25">
      <c r="K91" s="72"/>
      <c r="L91" s="72"/>
    </row>
    <row r="92" spans="11:12" x14ac:dyDescent="0.25">
      <c r="K92" s="72"/>
      <c r="L92" s="72"/>
    </row>
    <row r="93" spans="11:12" x14ac:dyDescent="0.25">
      <c r="K93" s="72"/>
      <c r="L93" s="72"/>
    </row>
    <row r="94" spans="11:12" x14ac:dyDescent="0.25">
      <c r="K94" s="72"/>
      <c r="L94" s="72"/>
    </row>
    <row r="95" spans="11:12" x14ac:dyDescent="0.25">
      <c r="K95" s="72"/>
      <c r="L95" s="72"/>
    </row>
    <row r="96" spans="11:12" x14ac:dyDescent="0.25">
      <c r="K96" s="72"/>
      <c r="L96" s="72"/>
    </row>
    <row r="97" spans="11:12" x14ac:dyDescent="0.25">
      <c r="K97" s="72"/>
      <c r="L97" s="72"/>
    </row>
    <row r="98" spans="11:12" x14ac:dyDescent="0.25">
      <c r="K98" s="72"/>
      <c r="L98" s="72"/>
    </row>
    <row r="99" spans="11:12" x14ac:dyDescent="0.25">
      <c r="K99" s="72"/>
      <c r="L99" s="72"/>
    </row>
    <row r="100" spans="11:12" x14ac:dyDescent="0.25">
      <c r="K100" s="72"/>
      <c r="L100" s="72"/>
    </row>
    <row r="101" spans="11:12" x14ac:dyDescent="0.25">
      <c r="K101" s="72"/>
      <c r="L101" s="72"/>
    </row>
    <row r="102" spans="11:12" x14ac:dyDescent="0.25">
      <c r="K102" s="72"/>
      <c r="L102" s="72"/>
    </row>
    <row r="103" spans="11:12" x14ac:dyDescent="0.25">
      <c r="K103" s="72"/>
      <c r="L103" s="72"/>
    </row>
    <row r="104" spans="11:12" x14ac:dyDescent="0.25">
      <c r="K104" s="72"/>
      <c r="L104" s="72"/>
    </row>
    <row r="105" spans="11:12" x14ac:dyDescent="0.25">
      <c r="K105" s="72"/>
      <c r="L105" s="72"/>
    </row>
    <row r="106" spans="11:12" x14ac:dyDescent="0.25">
      <c r="K106" s="72"/>
      <c r="L106" s="72"/>
    </row>
    <row r="107" spans="11:12" x14ac:dyDescent="0.25">
      <c r="K107" s="72"/>
      <c r="L107" s="72"/>
    </row>
    <row r="108" spans="11:12" x14ac:dyDescent="0.25">
      <c r="K108" s="72"/>
      <c r="L108" s="72"/>
    </row>
    <row r="109" spans="11:12" x14ac:dyDescent="0.25">
      <c r="K109" s="72"/>
      <c r="L109" s="72"/>
    </row>
    <row r="110" spans="11:12" x14ac:dyDescent="0.25">
      <c r="K110" s="72"/>
      <c r="L110" s="72"/>
    </row>
    <row r="111" spans="11:12" x14ac:dyDescent="0.25">
      <c r="K111" s="72"/>
      <c r="L111" s="72"/>
    </row>
    <row r="112" spans="11:12" x14ac:dyDescent="0.25">
      <c r="K112" s="72"/>
      <c r="L112" s="72"/>
    </row>
    <row r="113" spans="11:12" x14ac:dyDescent="0.25">
      <c r="K113" s="72"/>
      <c r="L113" s="72"/>
    </row>
    <row r="114" spans="11:12" x14ac:dyDescent="0.25">
      <c r="K114" s="72"/>
      <c r="L114" s="72"/>
    </row>
    <row r="115" spans="11:12" x14ac:dyDescent="0.25">
      <c r="K115" s="72"/>
      <c r="L115" s="72"/>
    </row>
    <row r="116" spans="11:12" x14ac:dyDescent="0.25">
      <c r="K116" s="72"/>
      <c r="L116" s="72"/>
    </row>
    <row r="117" spans="11:12" x14ac:dyDescent="0.25">
      <c r="K117" s="72"/>
      <c r="L117" s="72"/>
    </row>
    <row r="118" spans="11:12" x14ac:dyDescent="0.25">
      <c r="K118" s="72"/>
      <c r="L118" s="72"/>
    </row>
    <row r="119" spans="11:12" x14ac:dyDescent="0.25">
      <c r="K119" s="72"/>
      <c r="L119" s="72"/>
    </row>
    <row r="120" spans="11:12" x14ac:dyDescent="0.25">
      <c r="K120" s="72"/>
      <c r="L120" s="72"/>
    </row>
    <row r="121" spans="11:12" x14ac:dyDescent="0.25">
      <c r="K121" s="72"/>
      <c r="L121" s="72"/>
    </row>
    <row r="122" spans="11:12" x14ac:dyDescent="0.25">
      <c r="K122" s="72"/>
      <c r="L122" s="72"/>
    </row>
    <row r="123" spans="11:12" x14ac:dyDescent="0.25">
      <c r="K123" s="72"/>
      <c r="L123" s="72"/>
    </row>
    <row r="124" spans="11:12" x14ac:dyDescent="0.25">
      <c r="K124" s="72"/>
      <c r="L124" s="72"/>
    </row>
    <row r="125" spans="11:12" x14ac:dyDescent="0.25">
      <c r="K125" s="72"/>
      <c r="L125" s="72"/>
    </row>
    <row r="126" spans="11:12" x14ac:dyDescent="0.25">
      <c r="K126" s="72"/>
      <c r="L126" s="72"/>
    </row>
    <row r="127" spans="11:12" x14ac:dyDescent="0.25">
      <c r="K127" s="72"/>
      <c r="L127" s="72"/>
    </row>
    <row r="128" spans="11:12" x14ac:dyDescent="0.25">
      <c r="K128" s="72"/>
      <c r="L128" s="72"/>
    </row>
    <row r="129" spans="11:12" x14ac:dyDescent="0.25">
      <c r="K129" s="72"/>
      <c r="L129" s="72"/>
    </row>
    <row r="130" spans="11:12" x14ac:dyDescent="0.25">
      <c r="K130" s="72"/>
      <c r="L130" s="72"/>
    </row>
    <row r="131" spans="11:12" x14ac:dyDescent="0.25">
      <c r="K131" s="72"/>
      <c r="L131" s="72"/>
    </row>
    <row r="132" spans="11:12" x14ac:dyDescent="0.25">
      <c r="K132" s="72"/>
      <c r="L132" s="72"/>
    </row>
    <row r="133" spans="11:12" x14ac:dyDescent="0.25">
      <c r="K133" s="72"/>
      <c r="L133" s="72"/>
    </row>
    <row r="134" spans="11:12" x14ac:dyDescent="0.25">
      <c r="K134" s="72"/>
      <c r="L134" s="72"/>
    </row>
    <row r="135" spans="11:12" x14ac:dyDescent="0.25">
      <c r="K135" s="72"/>
      <c r="L135" s="72"/>
    </row>
    <row r="136" spans="11:12" x14ac:dyDescent="0.25">
      <c r="K136" s="72"/>
      <c r="L136" s="72"/>
    </row>
    <row r="137" spans="11:12" x14ac:dyDescent="0.25">
      <c r="K137" s="72"/>
      <c r="L137" s="72"/>
    </row>
    <row r="138" spans="11:12" x14ac:dyDescent="0.25">
      <c r="K138" s="72"/>
      <c r="L138" s="72"/>
    </row>
    <row r="139" spans="11:12" x14ac:dyDescent="0.25">
      <c r="K139" s="72"/>
      <c r="L139" s="72"/>
    </row>
    <row r="140" spans="11:12" x14ac:dyDescent="0.25">
      <c r="K140" s="72"/>
      <c r="L140" s="72"/>
    </row>
    <row r="141" spans="11:12" x14ac:dyDescent="0.25">
      <c r="K141" s="72"/>
      <c r="L141" s="72"/>
    </row>
    <row r="142" spans="11:12" x14ac:dyDescent="0.25">
      <c r="K142" s="72"/>
      <c r="L142" s="72"/>
    </row>
    <row r="143" spans="11:12" x14ac:dyDescent="0.25">
      <c r="K143" s="72"/>
      <c r="L143" s="72"/>
    </row>
    <row r="144" spans="11:12" x14ac:dyDescent="0.25">
      <c r="K144" s="72"/>
      <c r="L144" s="72"/>
    </row>
    <row r="145" spans="11:12" x14ac:dyDescent="0.25">
      <c r="K145" s="72"/>
      <c r="L145" s="72"/>
    </row>
    <row r="146" spans="11:12" x14ac:dyDescent="0.25">
      <c r="K146" s="72"/>
      <c r="L146" s="72"/>
    </row>
    <row r="147" spans="11:12" x14ac:dyDescent="0.25">
      <c r="K147" s="72"/>
      <c r="L147" s="72"/>
    </row>
    <row r="148" spans="11:12" x14ac:dyDescent="0.25">
      <c r="K148" s="72"/>
      <c r="L148" s="72"/>
    </row>
    <row r="149" spans="11:12" x14ac:dyDescent="0.25">
      <c r="K149" s="72"/>
      <c r="L149" s="72"/>
    </row>
    <row r="150" spans="11:12" x14ac:dyDescent="0.25">
      <c r="K150" s="72"/>
      <c r="L150" s="72"/>
    </row>
    <row r="151" spans="11:12" x14ac:dyDescent="0.25">
      <c r="K151" s="72"/>
      <c r="L151" s="72"/>
    </row>
    <row r="152" spans="11:12" x14ac:dyDescent="0.25">
      <c r="K152" s="72"/>
      <c r="L152" s="72"/>
    </row>
    <row r="153" spans="11:12" x14ac:dyDescent="0.25">
      <c r="K153" s="72"/>
      <c r="L153" s="72"/>
    </row>
    <row r="154" spans="11:12" x14ac:dyDescent="0.25">
      <c r="K154" s="72"/>
      <c r="L154" s="72"/>
    </row>
    <row r="155" spans="11:12" x14ac:dyDescent="0.25">
      <c r="K155" s="72"/>
      <c r="L155" s="72"/>
    </row>
    <row r="156" spans="11:12" x14ac:dyDescent="0.25">
      <c r="K156" s="72"/>
      <c r="L156" s="72"/>
    </row>
    <row r="157" spans="11:12" x14ac:dyDescent="0.25">
      <c r="K157" s="72"/>
      <c r="L157" s="72"/>
    </row>
    <row r="158" spans="11:12" x14ac:dyDescent="0.25">
      <c r="K158" s="72"/>
      <c r="L158" s="72"/>
    </row>
    <row r="159" spans="11:12" x14ac:dyDescent="0.25">
      <c r="K159" s="72"/>
      <c r="L159" s="72"/>
    </row>
    <row r="160" spans="11:12" x14ac:dyDescent="0.25">
      <c r="K160" s="72"/>
      <c r="L160" s="72"/>
    </row>
    <row r="161" spans="11:12" x14ac:dyDescent="0.25">
      <c r="K161" s="72"/>
      <c r="L161" s="72"/>
    </row>
    <row r="162" spans="11:12" x14ac:dyDescent="0.25">
      <c r="K162" s="72"/>
      <c r="L162" s="72"/>
    </row>
    <row r="163" spans="11:12" x14ac:dyDescent="0.25">
      <c r="K163" s="72"/>
      <c r="L163" s="72"/>
    </row>
    <row r="164" spans="11:12" x14ac:dyDescent="0.25">
      <c r="K164" s="72"/>
      <c r="L164" s="72"/>
    </row>
    <row r="165" spans="11:12" x14ac:dyDescent="0.25">
      <c r="K165" s="72"/>
      <c r="L165" s="72"/>
    </row>
    <row r="166" spans="11:12" x14ac:dyDescent="0.25">
      <c r="K166" s="72"/>
      <c r="L166" s="72"/>
    </row>
    <row r="167" spans="11:12" x14ac:dyDescent="0.25">
      <c r="K167" s="72"/>
      <c r="L167" s="72"/>
    </row>
    <row r="168" spans="11:12" x14ac:dyDescent="0.25">
      <c r="K168" s="72"/>
      <c r="L168" s="72"/>
    </row>
    <row r="169" spans="11:12" x14ac:dyDescent="0.25">
      <c r="K169" s="72"/>
      <c r="L169" s="72"/>
    </row>
    <row r="170" spans="11:12" x14ac:dyDescent="0.25">
      <c r="K170" s="72"/>
      <c r="L170" s="72"/>
    </row>
    <row r="171" spans="11:12" x14ac:dyDescent="0.25">
      <c r="K171" s="72"/>
      <c r="L171" s="72"/>
    </row>
    <row r="172" spans="11:12" x14ac:dyDescent="0.25">
      <c r="K172" s="72"/>
      <c r="L172" s="72"/>
    </row>
    <row r="173" spans="11:12" x14ac:dyDescent="0.25">
      <c r="K173" s="72"/>
      <c r="L173" s="72"/>
    </row>
    <row r="174" spans="11:12" x14ac:dyDescent="0.25">
      <c r="K174" s="72"/>
      <c r="L174" s="72"/>
    </row>
    <row r="175" spans="11:12" x14ac:dyDescent="0.25">
      <c r="K175" s="72"/>
      <c r="L175" s="72"/>
    </row>
    <row r="176" spans="11:12" x14ac:dyDescent="0.25">
      <c r="K176" s="72"/>
      <c r="L176" s="72"/>
    </row>
    <row r="177" spans="11:12" x14ac:dyDescent="0.25">
      <c r="K177" s="72"/>
      <c r="L177" s="72"/>
    </row>
    <row r="178" spans="11:12" x14ac:dyDescent="0.25">
      <c r="K178" s="72"/>
      <c r="L178" s="72"/>
    </row>
    <row r="179" spans="11:12" x14ac:dyDescent="0.25">
      <c r="K179" s="72"/>
      <c r="L179" s="72"/>
    </row>
    <row r="180" spans="11:12" x14ac:dyDescent="0.25">
      <c r="K180" s="72"/>
      <c r="L180" s="72"/>
    </row>
    <row r="181" spans="11:12" x14ac:dyDescent="0.25">
      <c r="K181" s="72"/>
      <c r="L181" s="72"/>
    </row>
    <row r="182" spans="11:12" x14ac:dyDescent="0.25">
      <c r="K182" s="72"/>
      <c r="L182" s="72"/>
    </row>
    <row r="183" spans="11:12" x14ac:dyDescent="0.25">
      <c r="K183" s="72"/>
      <c r="L183" s="72"/>
    </row>
    <row r="184" spans="11:12" x14ac:dyDescent="0.25">
      <c r="K184" s="72"/>
      <c r="L184" s="72"/>
    </row>
    <row r="185" spans="11:12" x14ac:dyDescent="0.25">
      <c r="K185" s="72"/>
      <c r="L185" s="72"/>
    </row>
    <row r="186" spans="11:12" x14ac:dyDescent="0.25">
      <c r="K186" s="72"/>
      <c r="L186" s="72"/>
    </row>
    <row r="187" spans="11:12" x14ac:dyDescent="0.25">
      <c r="K187" s="72"/>
      <c r="L187" s="72"/>
    </row>
    <row r="188" spans="11:12" x14ac:dyDescent="0.25">
      <c r="K188" s="72"/>
      <c r="L188" s="72"/>
    </row>
    <row r="189" spans="11:12" x14ac:dyDescent="0.25">
      <c r="K189" s="72"/>
      <c r="L189" s="72"/>
    </row>
    <row r="190" spans="11:12" x14ac:dyDescent="0.25">
      <c r="K190" s="72"/>
      <c r="L190" s="72"/>
    </row>
    <row r="191" spans="11:12" x14ac:dyDescent="0.25">
      <c r="K191" s="72"/>
      <c r="L191" s="72"/>
    </row>
    <row r="192" spans="11:12" x14ac:dyDescent="0.25">
      <c r="K192" s="72"/>
      <c r="L192" s="72"/>
    </row>
    <row r="193" spans="11:12" x14ac:dyDescent="0.25">
      <c r="K193" s="72"/>
      <c r="L193" s="72"/>
    </row>
    <row r="194" spans="11:12" x14ac:dyDescent="0.25">
      <c r="K194" s="72"/>
      <c r="L194" s="72"/>
    </row>
    <row r="195" spans="11:12" x14ac:dyDescent="0.25">
      <c r="K195" s="72"/>
      <c r="L195" s="72"/>
    </row>
    <row r="196" spans="11:12" x14ac:dyDescent="0.25">
      <c r="K196" s="72"/>
      <c r="L196" s="72"/>
    </row>
    <row r="197" spans="11:12" x14ac:dyDescent="0.25">
      <c r="K197" s="72"/>
      <c r="L197" s="72"/>
    </row>
    <row r="198" spans="11:12" x14ac:dyDescent="0.25">
      <c r="K198" s="72"/>
      <c r="L198" s="72"/>
    </row>
    <row r="199" spans="11:12" x14ac:dyDescent="0.25">
      <c r="K199" s="72"/>
      <c r="L199" s="72"/>
    </row>
    <row r="200" spans="11:12" x14ac:dyDescent="0.25">
      <c r="K200" s="72"/>
      <c r="L200" s="72"/>
    </row>
    <row r="201" spans="11:12" x14ac:dyDescent="0.25">
      <c r="K201" s="72"/>
      <c r="L201" s="72"/>
    </row>
    <row r="202" spans="11:12" x14ac:dyDescent="0.25">
      <c r="K202" s="72"/>
      <c r="L202" s="72"/>
    </row>
    <row r="203" spans="11:12" x14ac:dyDescent="0.25">
      <c r="K203" s="72"/>
      <c r="L203" s="72"/>
    </row>
    <row r="204" spans="11:12" x14ac:dyDescent="0.25">
      <c r="K204" s="72"/>
      <c r="L204" s="72"/>
    </row>
    <row r="205" spans="11:12" x14ac:dyDescent="0.25">
      <c r="K205" s="72"/>
      <c r="L205" s="72"/>
    </row>
    <row r="206" spans="11:12" x14ac:dyDescent="0.25">
      <c r="K206" s="72"/>
      <c r="L206" s="72"/>
    </row>
    <row r="207" spans="11:12" x14ac:dyDescent="0.25">
      <c r="K207" s="72"/>
      <c r="L207" s="72"/>
    </row>
    <row r="208" spans="11:12" x14ac:dyDescent="0.25">
      <c r="K208" s="72"/>
      <c r="L208" s="72"/>
    </row>
    <row r="209" spans="11:12" x14ac:dyDescent="0.25">
      <c r="K209" s="72"/>
      <c r="L209" s="72"/>
    </row>
    <row r="210" spans="11:12" x14ac:dyDescent="0.25">
      <c r="K210" s="72"/>
      <c r="L210" s="72"/>
    </row>
    <row r="211" spans="11:12" x14ac:dyDescent="0.25">
      <c r="K211" s="72"/>
      <c r="L211" s="72"/>
    </row>
    <row r="212" spans="11:12" x14ac:dyDescent="0.25">
      <c r="K212" s="72"/>
      <c r="L212" s="72"/>
    </row>
    <row r="213" spans="11:12" x14ac:dyDescent="0.25">
      <c r="K213" s="72"/>
      <c r="L213" s="72"/>
    </row>
    <row r="214" spans="11:12" x14ac:dyDescent="0.25">
      <c r="K214" s="72"/>
      <c r="L214" s="72"/>
    </row>
    <row r="215" spans="11:12" x14ac:dyDescent="0.25">
      <c r="K215" s="72"/>
      <c r="L215" s="72"/>
    </row>
    <row r="216" spans="11:12" x14ac:dyDescent="0.25">
      <c r="K216" s="72"/>
      <c r="L216" s="72"/>
    </row>
    <row r="217" spans="11:12" x14ac:dyDescent="0.25">
      <c r="K217" s="72"/>
      <c r="L217" s="72"/>
    </row>
    <row r="218" spans="11:12" x14ac:dyDescent="0.25">
      <c r="K218" s="72"/>
      <c r="L218" s="72"/>
    </row>
    <row r="219" spans="11:12" x14ac:dyDescent="0.25">
      <c r="K219" s="72"/>
      <c r="L219" s="72"/>
    </row>
    <row r="220" spans="11:12" x14ac:dyDescent="0.25">
      <c r="K220" s="72"/>
      <c r="L220" s="72"/>
    </row>
    <row r="221" spans="11:12" x14ac:dyDescent="0.25">
      <c r="K221" s="72"/>
      <c r="L221" s="72"/>
    </row>
    <row r="222" spans="11:12" x14ac:dyDescent="0.25">
      <c r="K222" s="72"/>
      <c r="L222" s="72"/>
    </row>
    <row r="223" spans="11:12" x14ac:dyDescent="0.25">
      <c r="K223" s="72"/>
      <c r="L223" s="72"/>
    </row>
    <row r="224" spans="11:12" x14ac:dyDescent="0.25">
      <c r="K224" s="72"/>
      <c r="L224" s="72"/>
    </row>
    <row r="225" spans="11:12" x14ac:dyDescent="0.25">
      <c r="K225" s="72"/>
      <c r="L225" s="72"/>
    </row>
    <row r="226" spans="11:12" x14ac:dyDescent="0.25">
      <c r="K226" s="72"/>
      <c r="L226" s="72"/>
    </row>
    <row r="227" spans="11:12" x14ac:dyDescent="0.25">
      <c r="K227" s="72"/>
      <c r="L227" s="72"/>
    </row>
    <row r="228" spans="11:12" x14ac:dyDescent="0.25">
      <c r="K228" s="72"/>
      <c r="L228" s="72"/>
    </row>
    <row r="229" spans="11:12" x14ac:dyDescent="0.25">
      <c r="K229" s="72"/>
      <c r="L229" s="72"/>
    </row>
    <row r="230" spans="11:12" x14ac:dyDescent="0.25">
      <c r="K230" s="72"/>
      <c r="L230" s="72"/>
    </row>
    <row r="231" spans="11:12" x14ac:dyDescent="0.25">
      <c r="K231" s="72"/>
      <c r="L231" s="72"/>
    </row>
    <row r="232" spans="11:12" x14ac:dyDescent="0.25">
      <c r="K232" s="72"/>
      <c r="L232" s="72"/>
    </row>
    <row r="233" spans="11:12" x14ac:dyDescent="0.25">
      <c r="K233" s="72"/>
      <c r="L233" s="72"/>
    </row>
    <row r="234" spans="11:12" x14ac:dyDescent="0.25">
      <c r="K234" s="72"/>
      <c r="L234" s="72"/>
    </row>
    <row r="235" spans="11:12" x14ac:dyDescent="0.25">
      <c r="K235" s="72"/>
      <c r="L235" s="72"/>
    </row>
    <row r="236" spans="11:12" x14ac:dyDescent="0.25">
      <c r="K236" s="72"/>
      <c r="L236" s="72"/>
    </row>
    <row r="237" spans="11:12" x14ac:dyDescent="0.25">
      <c r="K237" s="72"/>
      <c r="L237" s="72"/>
    </row>
    <row r="238" spans="11:12" x14ac:dyDescent="0.25">
      <c r="K238" s="72"/>
      <c r="L238" s="72"/>
    </row>
    <row r="239" spans="11:12" x14ac:dyDescent="0.25">
      <c r="K239" s="72"/>
      <c r="L239" s="72"/>
    </row>
    <row r="240" spans="11:12" x14ac:dyDescent="0.25">
      <c r="K240" s="72"/>
      <c r="L240" s="72"/>
    </row>
    <row r="241" spans="11:12" x14ac:dyDescent="0.25">
      <c r="K241" s="72"/>
      <c r="L241" s="72"/>
    </row>
    <row r="242" spans="11:12" x14ac:dyDescent="0.25">
      <c r="K242" s="72"/>
      <c r="L242" s="72"/>
    </row>
    <row r="243" spans="11:12" x14ac:dyDescent="0.25">
      <c r="K243" s="72"/>
      <c r="L243" s="72"/>
    </row>
    <row r="244" spans="11:12" x14ac:dyDescent="0.25">
      <c r="K244" s="72"/>
      <c r="L244" s="72"/>
    </row>
    <row r="245" spans="11:12" x14ac:dyDescent="0.25">
      <c r="K245" s="72"/>
      <c r="L245" s="72"/>
    </row>
    <row r="246" spans="11:12" x14ac:dyDescent="0.25">
      <c r="K246" s="72"/>
      <c r="L246" s="72"/>
    </row>
    <row r="247" spans="11:12" x14ac:dyDescent="0.25">
      <c r="K247" s="72"/>
      <c r="L247" s="72"/>
    </row>
    <row r="248" spans="11:12" x14ac:dyDescent="0.25">
      <c r="K248" s="72"/>
      <c r="L248" s="72"/>
    </row>
    <row r="249" spans="11:12" x14ac:dyDescent="0.25">
      <c r="K249" s="72"/>
      <c r="L249" s="72"/>
    </row>
    <row r="250" spans="11:12" x14ac:dyDescent="0.25">
      <c r="K250" s="72"/>
      <c r="L250" s="72"/>
    </row>
    <row r="251" spans="11:12" x14ac:dyDescent="0.25">
      <c r="K251" s="72"/>
      <c r="L251" s="72"/>
    </row>
    <row r="252" spans="11:12" x14ac:dyDescent="0.25">
      <c r="K252" s="72"/>
      <c r="L252" s="72"/>
    </row>
    <row r="253" spans="11:12" x14ac:dyDescent="0.25">
      <c r="K253" s="72"/>
      <c r="L253" s="72"/>
    </row>
    <row r="254" spans="11:12" x14ac:dyDescent="0.25">
      <c r="K254" s="72"/>
      <c r="L254" s="72"/>
    </row>
    <row r="255" spans="11:12" x14ac:dyDescent="0.25">
      <c r="K255" s="72"/>
      <c r="L255" s="72"/>
    </row>
    <row r="256" spans="11:12" x14ac:dyDescent="0.25">
      <c r="K256" s="72"/>
      <c r="L256" s="72"/>
    </row>
    <row r="257" spans="11:12" x14ac:dyDescent="0.25">
      <c r="K257" s="72"/>
      <c r="L257" s="72"/>
    </row>
    <row r="258" spans="11:12" x14ac:dyDescent="0.25">
      <c r="K258" s="72"/>
      <c r="L258" s="72"/>
    </row>
    <row r="259" spans="11:12" x14ac:dyDescent="0.25">
      <c r="K259" s="72"/>
      <c r="L259" s="72"/>
    </row>
    <row r="260" spans="11:12" x14ac:dyDescent="0.25">
      <c r="K260" s="72"/>
      <c r="L260" s="72"/>
    </row>
    <row r="261" spans="11:12" x14ac:dyDescent="0.25">
      <c r="K261" s="72"/>
      <c r="L261" s="72"/>
    </row>
    <row r="262" spans="11:12" x14ac:dyDescent="0.25">
      <c r="K262" s="72"/>
      <c r="L262" s="72"/>
    </row>
    <row r="263" spans="11:12" x14ac:dyDescent="0.25">
      <c r="K263" s="72"/>
      <c r="L263" s="72"/>
    </row>
    <row r="264" spans="11:12" x14ac:dyDescent="0.25">
      <c r="K264" s="72"/>
      <c r="L264" s="72"/>
    </row>
    <row r="265" spans="11:12" x14ac:dyDescent="0.25">
      <c r="K265" s="72"/>
      <c r="L265" s="72"/>
    </row>
    <row r="266" spans="11:12" x14ac:dyDescent="0.25">
      <c r="K266" s="72"/>
      <c r="L266" s="72"/>
    </row>
    <row r="267" spans="11:12" x14ac:dyDescent="0.25">
      <c r="K267" s="72"/>
      <c r="L267" s="72"/>
    </row>
    <row r="268" spans="11:12" x14ac:dyDescent="0.25">
      <c r="K268" s="72"/>
      <c r="L268" s="72"/>
    </row>
    <row r="269" spans="11:12" x14ac:dyDescent="0.25">
      <c r="K269" s="72"/>
      <c r="L269" s="72"/>
    </row>
    <row r="270" spans="11:12" x14ac:dyDescent="0.25">
      <c r="K270" s="72"/>
      <c r="L270" s="72"/>
    </row>
    <row r="271" spans="11:12" x14ac:dyDescent="0.25">
      <c r="K271" s="72"/>
      <c r="L271" s="72"/>
    </row>
    <row r="272" spans="11:12" x14ac:dyDescent="0.25">
      <c r="K272" s="72"/>
      <c r="L272" s="72"/>
    </row>
    <row r="273" spans="11:12" x14ac:dyDescent="0.25">
      <c r="K273" s="72"/>
      <c r="L273" s="72"/>
    </row>
    <row r="274" spans="11:12" x14ac:dyDescent="0.25">
      <c r="K274" s="72"/>
      <c r="L274" s="72"/>
    </row>
    <row r="275" spans="11:12" x14ac:dyDescent="0.25">
      <c r="K275" s="72"/>
      <c r="L275" s="72"/>
    </row>
    <row r="276" spans="11:12" x14ac:dyDescent="0.25">
      <c r="K276" s="72"/>
      <c r="L276" s="72"/>
    </row>
    <row r="277" spans="11:12" x14ac:dyDescent="0.25">
      <c r="K277" s="72"/>
      <c r="L277" s="72"/>
    </row>
    <row r="278" spans="11:12" x14ac:dyDescent="0.25">
      <c r="K278" s="72"/>
      <c r="L278" s="72"/>
    </row>
    <row r="279" spans="11:12" x14ac:dyDescent="0.25">
      <c r="K279" s="72"/>
      <c r="L279" s="72"/>
    </row>
    <row r="280" spans="11:12" x14ac:dyDescent="0.25">
      <c r="K280" s="72"/>
      <c r="L280" s="72"/>
    </row>
    <row r="281" spans="11:12" x14ac:dyDescent="0.25">
      <c r="K281" s="72"/>
      <c r="L281" s="72"/>
    </row>
    <row r="282" spans="11:12" x14ac:dyDescent="0.25">
      <c r="K282" s="72"/>
      <c r="L282" s="72"/>
    </row>
    <row r="283" spans="11:12" x14ac:dyDescent="0.25">
      <c r="K283" s="72"/>
      <c r="L283" s="72"/>
    </row>
    <row r="284" spans="11:12" x14ac:dyDescent="0.25">
      <c r="K284" s="72"/>
      <c r="L284" s="72"/>
    </row>
    <row r="285" spans="11:12" x14ac:dyDescent="0.25">
      <c r="K285" s="72"/>
      <c r="L285" s="72"/>
    </row>
    <row r="286" spans="11:12" x14ac:dyDescent="0.25">
      <c r="K286" s="72"/>
      <c r="L286" s="72"/>
    </row>
    <row r="287" spans="11:12" x14ac:dyDescent="0.25">
      <c r="K287" s="72"/>
      <c r="L287" s="72"/>
    </row>
    <row r="288" spans="11:12" x14ac:dyDescent="0.25">
      <c r="K288" s="72"/>
      <c r="L288" s="72"/>
    </row>
    <row r="289" spans="11:12" x14ac:dyDescent="0.25">
      <c r="K289" s="72"/>
      <c r="L289" s="72"/>
    </row>
    <row r="290" spans="11:12" x14ac:dyDescent="0.25">
      <c r="K290" s="72"/>
      <c r="L290" s="72"/>
    </row>
    <row r="291" spans="11:12" x14ac:dyDescent="0.25">
      <c r="K291" s="72"/>
      <c r="L291" s="72"/>
    </row>
    <row r="292" spans="11:12" x14ac:dyDescent="0.25">
      <c r="K292" s="72"/>
      <c r="L292" s="72"/>
    </row>
    <row r="293" spans="11:12" x14ac:dyDescent="0.25">
      <c r="K293" s="72"/>
      <c r="L293" s="72"/>
    </row>
    <row r="294" spans="11:12" x14ac:dyDescent="0.25">
      <c r="K294" s="72"/>
      <c r="L294" s="72"/>
    </row>
    <row r="295" spans="11:12" x14ac:dyDescent="0.25">
      <c r="K295" s="72"/>
      <c r="L295" s="72"/>
    </row>
    <row r="296" spans="11:12" x14ac:dyDescent="0.25">
      <c r="K296" s="72"/>
      <c r="L296" s="72"/>
    </row>
    <row r="297" spans="11:12" x14ac:dyDescent="0.25">
      <c r="K297" s="72"/>
      <c r="L297" s="72"/>
    </row>
    <row r="298" spans="11:12" x14ac:dyDescent="0.25">
      <c r="K298" s="72"/>
      <c r="L298" s="72"/>
    </row>
    <row r="299" spans="11:12" x14ac:dyDescent="0.25">
      <c r="K299" s="72"/>
      <c r="L299" s="72"/>
    </row>
    <row r="300" spans="11:12" x14ac:dyDescent="0.25">
      <c r="K300" s="72"/>
      <c r="L300" s="72"/>
    </row>
    <row r="301" spans="11:12" x14ac:dyDescent="0.25">
      <c r="K301" s="72"/>
      <c r="L301" s="72"/>
    </row>
    <row r="302" spans="11:12" x14ac:dyDescent="0.25">
      <c r="K302" s="72"/>
      <c r="L302" s="72"/>
    </row>
    <row r="303" spans="11:12" x14ac:dyDescent="0.25">
      <c r="K303" s="72"/>
      <c r="L303" s="72"/>
    </row>
    <row r="304" spans="11:12" x14ac:dyDescent="0.25">
      <c r="K304" s="72"/>
      <c r="L304" s="72"/>
    </row>
    <row r="305" spans="11:12" x14ac:dyDescent="0.25">
      <c r="K305" s="72"/>
      <c r="L305" s="72"/>
    </row>
    <row r="306" spans="11:12" x14ac:dyDescent="0.25">
      <c r="K306" s="72"/>
      <c r="L306" s="72"/>
    </row>
    <row r="307" spans="11:12" x14ac:dyDescent="0.25">
      <c r="K307" s="72"/>
      <c r="L307" s="72"/>
    </row>
    <row r="308" spans="11:12" x14ac:dyDescent="0.25">
      <c r="K308" s="72"/>
      <c r="L308" s="72"/>
    </row>
    <row r="309" spans="11:12" x14ac:dyDescent="0.25">
      <c r="K309" s="72"/>
      <c r="L309" s="72"/>
    </row>
    <row r="310" spans="11:12" x14ac:dyDescent="0.25">
      <c r="K310" s="72"/>
      <c r="L310" s="72"/>
    </row>
    <row r="311" spans="11:12" x14ac:dyDescent="0.25">
      <c r="K311" s="72"/>
      <c r="L311" s="72"/>
    </row>
    <row r="312" spans="11:12" x14ac:dyDescent="0.25">
      <c r="K312" s="72"/>
      <c r="L312" s="72"/>
    </row>
    <row r="313" spans="11:12" x14ac:dyDescent="0.25">
      <c r="K313" s="72"/>
      <c r="L313" s="72"/>
    </row>
    <row r="314" spans="11:12" x14ac:dyDescent="0.25">
      <c r="K314" s="72"/>
      <c r="L314" s="72"/>
    </row>
    <row r="315" spans="11:12" x14ac:dyDescent="0.25">
      <c r="K315" s="72"/>
      <c r="L315" s="72"/>
    </row>
    <row r="316" spans="11:12" x14ac:dyDescent="0.25">
      <c r="K316" s="72"/>
      <c r="L316" s="72"/>
    </row>
    <row r="317" spans="11:12" x14ac:dyDescent="0.25">
      <c r="K317" s="72"/>
      <c r="L317" s="72"/>
    </row>
    <row r="318" spans="11:12" x14ac:dyDescent="0.25">
      <c r="K318" s="72"/>
      <c r="L318" s="72"/>
    </row>
    <row r="319" spans="11:12" x14ac:dyDescent="0.25">
      <c r="K319" s="72"/>
      <c r="L319" s="72"/>
    </row>
    <row r="320" spans="11:12" x14ac:dyDescent="0.25">
      <c r="K320" s="72"/>
      <c r="L320" s="72"/>
    </row>
    <row r="321" spans="11:12" x14ac:dyDescent="0.25">
      <c r="K321" s="72"/>
      <c r="L321" s="72"/>
    </row>
    <row r="322" spans="11:12" x14ac:dyDescent="0.25">
      <c r="K322" s="72"/>
      <c r="L322" s="72"/>
    </row>
    <row r="323" spans="11:12" x14ac:dyDescent="0.25">
      <c r="K323" s="72"/>
      <c r="L323" s="72"/>
    </row>
    <row r="324" spans="11:12" x14ac:dyDescent="0.25">
      <c r="K324" s="72"/>
      <c r="L324" s="72"/>
    </row>
    <row r="325" spans="11:12" x14ac:dyDescent="0.25">
      <c r="K325" s="72"/>
      <c r="L325" s="72"/>
    </row>
    <row r="326" spans="11:12" x14ac:dyDescent="0.25">
      <c r="K326" s="72"/>
      <c r="L326" s="72"/>
    </row>
    <row r="327" spans="11:12" x14ac:dyDescent="0.25">
      <c r="K327" s="72"/>
      <c r="L327" s="72"/>
    </row>
    <row r="328" spans="11:12" x14ac:dyDescent="0.25">
      <c r="K328" s="72"/>
      <c r="L328" s="72"/>
    </row>
    <row r="329" spans="11:12" x14ac:dyDescent="0.25">
      <c r="K329" s="72"/>
      <c r="L329" s="72"/>
    </row>
    <row r="330" spans="11:12" x14ac:dyDescent="0.25">
      <c r="K330" s="72"/>
      <c r="L330" s="72"/>
    </row>
    <row r="331" spans="11:12" x14ac:dyDescent="0.25">
      <c r="K331" s="72"/>
      <c r="L331" s="72"/>
    </row>
    <row r="332" spans="11:12" x14ac:dyDescent="0.25">
      <c r="K332" s="72"/>
      <c r="L332" s="72"/>
    </row>
    <row r="333" spans="11:12" x14ac:dyDescent="0.25">
      <c r="K333" s="72"/>
      <c r="L333" s="72"/>
    </row>
    <row r="334" spans="11:12" x14ac:dyDescent="0.25">
      <c r="K334" s="72"/>
      <c r="L334" s="72"/>
    </row>
    <row r="335" spans="11:12" x14ac:dyDescent="0.25">
      <c r="K335" s="72"/>
      <c r="L335" s="72"/>
    </row>
    <row r="336" spans="11:12" x14ac:dyDescent="0.25">
      <c r="K336" s="72"/>
      <c r="L336" s="72"/>
    </row>
    <row r="337" spans="11:12" x14ac:dyDescent="0.25">
      <c r="K337" s="72"/>
      <c r="L337" s="72"/>
    </row>
    <row r="338" spans="11:12" x14ac:dyDescent="0.25">
      <c r="K338" s="72"/>
      <c r="L338" s="72"/>
    </row>
    <row r="339" spans="11:12" x14ac:dyDescent="0.25">
      <c r="K339" s="72"/>
      <c r="L339" s="72"/>
    </row>
    <row r="340" spans="11:12" x14ac:dyDescent="0.25">
      <c r="K340" s="72"/>
      <c r="L340" s="72"/>
    </row>
    <row r="341" spans="11:12" x14ac:dyDescent="0.25">
      <c r="K341" s="72"/>
      <c r="L341" s="72"/>
    </row>
    <row r="342" spans="11:12" x14ac:dyDescent="0.25">
      <c r="K342" s="72"/>
      <c r="L342" s="72"/>
    </row>
    <row r="343" spans="11:12" x14ac:dyDescent="0.25">
      <c r="K343" s="72"/>
      <c r="L343" s="72"/>
    </row>
    <row r="344" spans="11:12" x14ac:dyDescent="0.25">
      <c r="K344" s="72"/>
      <c r="L344" s="72"/>
    </row>
    <row r="345" spans="11:12" x14ac:dyDescent="0.25">
      <c r="K345" s="72"/>
      <c r="L345" s="72"/>
    </row>
    <row r="346" spans="11:12" x14ac:dyDescent="0.25">
      <c r="K346" s="72"/>
      <c r="L346" s="72"/>
    </row>
    <row r="347" spans="11:12" x14ac:dyDescent="0.25">
      <c r="K347" s="72"/>
      <c r="L347" s="72"/>
    </row>
    <row r="348" spans="11:12" x14ac:dyDescent="0.25">
      <c r="K348" s="72"/>
      <c r="L348" s="72"/>
    </row>
    <row r="349" spans="11:12" x14ac:dyDescent="0.25">
      <c r="K349" s="72"/>
      <c r="L349" s="72"/>
    </row>
    <row r="350" spans="11:12" x14ac:dyDescent="0.25">
      <c r="K350" s="72"/>
      <c r="L350" s="72"/>
    </row>
    <row r="351" spans="11:12" x14ac:dyDescent="0.25">
      <c r="K351" s="72"/>
      <c r="L351" s="72"/>
    </row>
    <row r="352" spans="11:12" x14ac:dyDescent="0.25">
      <c r="K352" s="72"/>
      <c r="L352" s="72"/>
    </row>
    <row r="353" spans="11:12" x14ac:dyDescent="0.25">
      <c r="K353" s="72"/>
      <c r="L353" s="72"/>
    </row>
    <row r="354" spans="11:12" x14ac:dyDescent="0.25">
      <c r="K354" s="72"/>
      <c r="L354" s="72"/>
    </row>
    <row r="355" spans="11:12" x14ac:dyDescent="0.25">
      <c r="K355" s="72"/>
      <c r="L355" s="72"/>
    </row>
    <row r="356" spans="11:12" x14ac:dyDescent="0.25">
      <c r="K356" s="72"/>
      <c r="L356" s="72"/>
    </row>
    <row r="357" spans="11:12" x14ac:dyDescent="0.25">
      <c r="K357" s="72"/>
      <c r="L357" s="72"/>
    </row>
    <row r="358" spans="11:12" x14ac:dyDescent="0.25">
      <c r="K358" s="72"/>
      <c r="L358" s="72"/>
    </row>
    <row r="359" spans="11:12" x14ac:dyDescent="0.25">
      <c r="K359" s="72"/>
      <c r="L359" s="72"/>
    </row>
    <row r="360" spans="11:12" x14ac:dyDescent="0.25">
      <c r="K360" s="72"/>
      <c r="L360" s="72"/>
    </row>
    <row r="361" spans="11:12" x14ac:dyDescent="0.25">
      <c r="K361" s="72"/>
      <c r="L361" s="72"/>
    </row>
    <row r="362" spans="11:12" x14ac:dyDescent="0.25">
      <c r="K362" s="72"/>
      <c r="L362" s="72"/>
    </row>
    <row r="363" spans="11:12" x14ac:dyDescent="0.25">
      <c r="K363" s="72"/>
      <c r="L363" s="72"/>
    </row>
    <row r="364" spans="11:12" x14ac:dyDescent="0.25">
      <c r="K364" s="72"/>
      <c r="L364" s="72"/>
    </row>
    <row r="365" spans="11:12" x14ac:dyDescent="0.25">
      <c r="K365" s="72"/>
      <c r="L365" s="72"/>
    </row>
    <row r="366" spans="11:12" x14ac:dyDescent="0.25">
      <c r="K366" s="72"/>
      <c r="L366" s="72"/>
    </row>
    <row r="367" spans="11:12" x14ac:dyDescent="0.25">
      <c r="K367" s="72"/>
      <c r="L367" s="72"/>
    </row>
    <row r="368" spans="11:12" x14ac:dyDescent="0.25">
      <c r="K368" s="72"/>
      <c r="L368" s="72"/>
    </row>
    <row r="369" spans="11:12" x14ac:dyDescent="0.25">
      <c r="K369" s="72"/>
      <c r="L369" s="72"/>
    </row>
    <row r="370" spans="11:12" x14ac:dyDescent="0.25">
      <c r="K370" s="72"/>
      <c r="L370" s="72"/>
    </row>
    <row r="371" spans="11:12" x14ac:dyDescent="0.25">
      <c r="K371" s="72"/>
      <c r="L371" s="72"/>
    </row>
    <row r="372" spans="11:12" x14ac:dyDescent="0.25">
      <c r="K372" s="72"/>
      <c r="L372" s="72"/>
    </row>
    <row r="373" spans="11:12" x14ac:dyDescent="0.25">
      <c r="K373" s="72"/>
      <c r="L373" s="72"/>
    </row>
    <row r="374" spans="11:12" x14ac:dyDescent="0.25">
      <c r="K374" s="72"/>
      <c r="L374" s="72"/>
    </row>
    <row r="375" spans="11:12" x14ac:dyDescent="0.25">
      <c r="K375" s="72"/>
      <c r="L375" s="72"/>
    </row>
    <row r="376" spans="11:12" x14ac:dyDescent="0.25">
      <c r="K376" s="72"/>
      <c r="L376" s="72"/>
    </row>
    <row r="377" spans="11:12" x14ac:dyDescent="0.25">
      <c r="K377" s="72"/>
      <c r="L377" s="72"/>
    </row>
    <row r="378" spans="11:12" x14ac:dyDescent="0.25">
      <c r="K378" s="72"/>
      <c r="L378" s="72"/>
    </row>
    <row r="379" spans="11:12" x14ac:dyDescent="0.25">
      <c r="K379" s="72"/>
      <c r="L379" s="72"/>
    </row>
    <row r="380" spans="11:12" x14ac:dyDescent="0.25">
      <c r="K380" s="72"/>
      <c r="L380" s="72"/>
    </row>
    <row r="381" spans="11:12" x14ac:dyDescent="0.25">
      <c r="K381" s="72"/>
      <c r="L381" s="72"/>
    </row>
    <row r="382" spans="11:12" x14ac:dyDescent="0.25">
      <c r="K382" s="72"/>
      <c r="L382" s="72"/>
    </row>
    <row r="383" spans="11:12" x14ac:dyDescent="0.25">
      <c r="K383" s="72"/>
      <c r="L383" s="72"/>
    </row>
    <row r="384" spans="11:12" x14ac:dyDescent="0.25">
      <c r="K384" s="72"/>
      <c r="L384" s="72"/>
    </row>
    <row r="385" spans="11:12" x14ac:dyDescent="0.25">
      <c r="K385" s="72"/>
      <c r="L385" s="72"/>
    </row>
    <row r="386" spans="11:12" x14ac:dyDescent="0.25">
      <c r="K386" s="72"/>
      <c r="L386" s="72"/>
    </row>
    <row r="387" spans="11:12" x14ac:dyDescent="0.25">
      <c r="K387" s="72"/>
      <c r="L387" s="72"/>
    </row>
    <row r="388" spans="11:12" x14ac:dyDescent="0.25">
      <c r="K388" s="72"/>
      <c r="L388" s="72"/>
    </row>
    <row r="389" spans="11:12" x14ac:dyDescent="0.25">
      <c r="K389" s="72"/>
      <c r="L389" s="72"/>
    </row>
    <row r="390" spans="11:12" x14ac:dyDescent="0.25">
      <c r="K390" s="72"/>
      <c r="L390" s="72"/>
    </row>
    <row r="391" spans="11:12" x14ac:dyDescent="0.25">
      <c r="K391" s="72"/>
      <c r="L391" s="72"/>
    </row>
    <row r="392" spans="11:12" x14ac:dyDescent="0.25">
      <c r="K392" s="72"/>
      <c r="L392" s="72"/>
    </row>
    <row r="393" spans="11:12" x14ac:dyDescent="0.25">
      <c r="K393" s="72"/>
      <c r="L393" s="72"/>
    </row>
    <row r="394" spans="11:12" x14ac:dyDescent="0.25">
      <c r="K394" s="72"/>
      <c r="L394" s="72"/>
    </row>
    <row r="395" spans="11:12" x14ac:dyDescent="0.25">
      <c r="K395" s="72"/>
      <c r="L395" s="72"/>
    </row>
    <row r="396" spans="11:12" x14ac:dyDescent="0.25">
      <c r="K396" s="72"/>
      <c r="L396" s="72"/>
    </row>
    <row r="397" spans="11:12" x14ac:dyDescent="0.25">
      <c r="K397" s="72"/>
      <c r="L397" s="72"/>
    </row>
    <row r="398" spans="11:12" x14ac:dyDescent="0.25">
      <c r="K398" s="72"/>
      <c r="L398" s="72"/>
    </row>
    <row r="399" spans="11:12" x14ac:dyDescent="0.25">
      <c r="K399" s="72"/>
      <c r="L399" s="72"/>
    </row>
    <row r="400" spans="11:12" x14ac:dyDescent="0.25">
      <c r="K400" s="72"/>
      <c r="L400" s="72"/>
    </row>
    <row r="401" spans="11:12" x14ac:dyDescent="0.25">
      <c r="K401" s="72"/>
      <c r="L401" s="72"/>
    </row>
    <row r="402" spans="11:12" x14ac:dyDescent="0.25">
      <c r="K402" s="72"/>
      <c r="L402" s="72"/>
    </row>
    <row r="403" spans="11:12" x14ac:dyDescent="0.25">
      <c r="K403" s="72"/>
      <c r="L403" s="72"/>
    </row>
    <row r="404" spans="11:12" x14ac:dyDescent="0.25">
      <c r="K404" s="72"/>
      <c r="L404" s="72"/>
    </row>
    <row r="405" spans="11:12" x14ac:dyDescent="0.25">
      <c r="K405" s="72"/>
      <c r="L405" s="72"/>
    </row>
    <row r="406" spans="11:12" x14ac:dyDescent="0.25">
      <c r="K406" s="72"/>
      <c r="L406" s="72"/>
    </row>
    <row r="407" spans="11:12" x14ac:dyDescent="0.25">
      <c r="K407" s="72"/>
      <c r="L407" s="72"/>
    </row>
    <row r="408" spans="11:12" x14ac:dyDescent="0.25">
      <c r="K408" s="72"/>
      <c r="L408" s="72"/>
    </row>
    <row r="409" spans="11:12" x14ac:dyDescent="0.25">
      <c r="K409" s="72"/>
      <c r="L409" s="72"/>
    </row>
    <row r="410" spans="11:12" x14ac:dyDescent="0.25">
      <c r="K410" s="72"/>
      <c r="L410" s="72"/>
    </row>
    <row r="411" spans="11:12" x14ac:dyDescent="0.25">
      <c r="K411" s="72"/>
      <c r="L411" s="72"/>
    </row>
    <row r="412" spans="11:12" x14ac:dyDescent="0.25">
      <c r="K412" s="72"/>
      <c r="L412" s="72"/>
    </row>
    <row r="413" spans="11:12" x14ac:dyDescent="0.25">
      <c r="K413" s="72"/>
      <c r="L413" s="72"/>
    </row>
    <row r="414" spans="11:12" x14ac:dyDescent="0.25">
      <c r="K414" s="72"/>
      <c r="L414" s="72"/>
    </row>
    <row r="415" spans="11:12" x14ac:dyDescent="0.25">
      <c r="K415" s="72"/>
      <c r="L415" s="72"/>
    </row>
    <row r="416" spans="11:12" x14ac:dyDescent="0.25">
      <c r="K416" s="72"/>
      <c r="L416" s="72"/>
    </row>
    <row r="417" spans="11:12" x14ac:dyDescent="0.25">
      <c r="K417" s="72"/>
      <c r="L417" s="72"/>
    </row>
    <row r="418" spans="11:12" x14ac:dyDescent="0.25">
      <c r="K418" s="72"/>
      <c r="L418" s="72"/>
    </row>
    <row r="419" spans="11:12" x14ac:dyDescent="0.25">
      <c r="K419" s="72"/>
      <c r="L419" s="72"/>
    </row>
    <row r="420" spans="11:12" x14ac:dyDescent="0.25">
      <c r="K420" s="72"/>
      <c r="L420" s="72"/>
    </row>
    <row r="421" spans="11:12" x14ac:dyDescent="0.25">
      <c r="K421" s="72"/>
      <c r="L421" s="72"/>
    </row>
    <row r="422" spans="11:12" x14ac:dyDescent="0.25">
      <c r="K422" s="72"/>
      <c r="L422" s="72"/>
    </row>
    <row r="423" spans="11:12" x14ac:dyDescent="0.25">
      <c r="K423" s="72"/>
      <c r="L423" s="72"/>
    </row>
    <row r="424" spans="11:12" x14ac:dyDescent="0.25">
      <c r="K424" s="72"/>
      <c r="L424" s="72"/>
    </row>
    <row r="425" spans="11:12" x14ac:dyDescent="0.25">
      <c r="K425" s="72"/>
      <c r="L425" s="72"/>
    </row>
    <row r="426" spans="11:12" x14ac:dyDescent="0.25">
      <c r="K426" s="72"/>
      <c r="L426" s="72"/>
    </row>
    <row r="427" spans="11:12" x14ac:dyDescent="0.25">
      <c r="K427" s="72"/>
      <c r="L427" s="72"/>
    </row>
    <row r="428" spans="11:12" x14ac:dyDescent="0.25">
      <c r="K428" s="72"/>
      <c r="L428" s="72"/>
    </row>
    <row r="429" spans="11:12" x14ac:dyDescent="0.25">
      <c r="K429" s="72"/>
      <c r="L429" s="72"/>
    </row>
    <row r="430" spans="11:12" x14ac:dyDescent="0.25">
      <c r="K430" s="72"/>
      <c r="L430" s="72"/>
    </row>
    <row r="431" spans="11:12" x14ac:dyDescent="0.25">
      <c r="K431" s="72"/>
      <c r="L431" s="72"/>
    </row>
    <row r="432" spans="11:12" x14ac:dyDescent="0.25">
      <c r="K432" s="72"/>
      <c r="L432" s="72"/>
    </row>
    <row r="433" spans="11:12" x14ac:dyDescent="0.25">
      <c r="K433" s="72"/>
      <c r="L433" s="72"/>
    </row>
    <row r="434" spans="11:12" x14ac:dyDescent="0.25">
      <c r="K434" s="72"/>
      <c r="L434" s="72"/>
    </row>
    <row r="435" spans="11:12" x14ac:dyDescent="0.25">
      <c r="K435" s="72"/>
      <c r="L435" s="72"/>
    </row>
    <row r="436" spans="11:12" x14ac:dyDescent="0.25">
      <c r="K436" s="72"/>
      <c r="L436" s="72"/>
    </row>
    <row r="437" spans="11:12" x14ac:dyDescent="0.25">
      <c r="K437" s="72"/>
      <c r="L437" s="72"/>
    </row>
    <row r="438" spans="11:12" x14ac:dyDescent="0.25">
      <c r="K438" s="72"/>
      <c r="L438" s="72"/>
    </row>
    <row r="439" spans="11:12" x14ac:dyDescent="0.25">
      <c r="K439" s="72"/>
      <c r="L439" s="72"/>
    </row>
    <row r="440" spans="11:12" x14ac:dyDescent="0.25">
      <c r="K440" s="72"/>
      <c r="L440" s="72"/>
    </row>
    <row r="441" spans="11:12" x14ac:dyDescent="0.25">
      <c r="K441" s="72"/>
      <c r="L441" s="72"/>
    </row>
    <row r="442" spans="11:12" x14ac:dyDescent="0.25">
      <c r="K442" s="72"/>
      <c r="L442" s="72"/>
    </row>
    <row r="443" spans="11:12" x14ac:dyDescent="0.25">
      <c r="K443" s="72"/>
      <c r="L443" s="72"/>
    </row>
    <row r="444" spans="11:12" x14ac:dyDescent="0.25">
      <c r="K444" s="72"/>
      <c r="L444" s="72"/>
    </row>
    <row r="445" spans="11:12" x14ac:dyDescent="0.25">
      <c r="K445" s="72"/>
      <c r="L445" s="72"/>
    </row>
    <row r="446" spans="11:12" x14ac:dyDescent="0.25">
      <c r="K446" s="72"/>
      <c r="L446" s="72"/>
    </row>
    <row r="447" spans="11:12" x14ac:dyDescent="0.25">
      <c r="K447" s="72"/>
      <c r="L447" s="72"/>
    </row>
    <row r="448" spans="11:12" x14ac:dyDescent="0.25">
      <c r="K448" s="72"/>
      <c r="L448" s="72"/>
    </row>
    <row r="449" spans="11:12" x14ac:dyDescent="0.25">
      <c r="K449" s="72"/>
      <c r="L449" s="72"/>
    </row>
    <row r="450" spans="11:12" x14ac:dyDescent="0.25">
      <c r="K450" s="72"/>
      <c r="L450" s="72"/>
    </row>
    <row r="451" spans="11:12" x14ac:dyDescent="0.25">
      <c r="K451" s="72"/>
      <c r="L451" s="72"/>
    </row>
    <row r="452" spans="11:12" x14ac:dyDescent="0.25">
      <c r="K452" s="72"/>
      <c r="L452" s="72"/>
    </row>
    <row r="453" spans="11:12" x14ac:dyDescent="0.25">
      <c r="K453" s="72"/>
      <c r="L453" s="72"/>
    </row>
    <row r="454" spans="11:12" x14ac:dyDescent="0.25">
      <c r="K454" s="72"/>
      <c r="L454" s="72"/>
    </row>
    <row r="455" spans="11:12" x14ac:dyDescent="0.25">
      <c r="K455" s="72"/>
      <c r="L455" s="72"/>
    </row>
    <row r="456" spans="11:12" x14ac:dyDescent="0.25">
      <c r="K456" s="72"/>
      <c r="L456" s="72"/>
    </row>
    <row r="457" spans="11:12" x14ac:dyDescent="0.25">
      <c r="K457" s="72"/>
      <c r="L457" s="72"/>
    </row>
    <row r="458" spans="11:12" x14ac:dyDescent="0.25">
      <c r="K458" s="72"/>
      <c r="L458" s="72"/>
    </row>
    <row r="459" spans="11:12" x14ac:dyDescent="0.25">
      <c r="K459" s="72"/>
      <c r="L459" s="72"/>
    </row>
    <row r="460" spans="11:12" x14ac:dyDescent="0.25">
      <c r="K460" s="72"/>
      <c r="L460" s="72"/>
    </row>
    <row r="461" spans="11:12" x14ac:dyDescent="0.25">
      <c r="K461" s="72"/>
      <c r="L461" s="72"/>
    </row>
    <row r="462" spans="11:12" x14ac:dyDescent="0.25">
      <c r="K462" s="72"/>
      <c r="L462" s="72"/>
    </row>
    <row r="463" spans="11:12" x14ac:dyDescent="0.25">
      <c r="K463" s="72"/>
      <c r="L463" s="72"/>
    </row>
    <row r="464" spans="11:12" x14ac:dyDescent="0.25">
      <c r="K464" s="72"/>
      <c r="L464" s="72"/>
    </row>
    <row r="465" spans="11:12" x14ac:dyDescent="0.25">
      <c r="K465" s="72"/>
      <c r="L465" s="72"/>
    </row>
    <row r="466" spans="11:12" x14ac:dyDescent="0.25">
      <c r="K466" s="72"/>
      <c r="L466" s="72"/>
    </row>
    <row r="467" spans="11:12" x14ac:dyDescent="0.25">
      <c r="K467" s="72"/>
      <c r="L467" s="72"/>
    </row>
    <row r="468" spans="11:12" x14ac:dyDescent="0.25">
      <c r="K468" s="72"/>
      <c r="L468" s="72"/>
    </row>
    <row r="469" spans="11:12" x14ac:dyDescent="0.25">
      <c r="K469" s="72"/>
      <c r="L469" s="72"/>
    </row>
    <row r="470" spans="11:12" x14ac:dyDescent="0.25">
      <c r="K470" s="72"/>
      <c r="L470" s="72"/>
    </row>
    <row r="471" spans="11:12" x14ac:dyDescent="0.25">
      <c r="K471" s="72"/>
      <c r="L471" s="72"/>
    </row>
    <row r="472" spans="11:12" x14ac:dyDescent="0.25">
      <c r="K472" s="72"/>
      <c r="L472" s="72"/>
    </row>
  </sheetData>
  <autoFilter ref="J1:L472"/>
  <mergeCells count="12">
    <mergeCell ref="A8:F8"/>
    <mergeCell ref="I1:J1"/>
    <mergeCell ref="A3:A4"/>
    <mergeCell ref="B3:B4"/>
    <mergeCell ref="C3:C4"/>
    <mergeCell ref="D3:D4"/>
    <mergeCell ref="E3:E4"/>
    <mergeCell ref="A5:A6"/>
    <mergeCell ref="B5:B6"/>
    <mergeCell ref="C5:C6"/>
    <mergeCell ref="D5:D6"/>
    <mergeCell ref="E5:E6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2" orientation="portrait" horizont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8" sqref="K28"/>
    </sheetView>
  </sheetViews>
  <sheetFormatPr defaultRowHeight="13.2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7" sqref="M27"/>
    </sheetView>
  </sheetViews>
  <sheetFormatPr defaultRowHeight="13.2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2" sqref="K22"/>
    </sheetView>
  </sheetViews>
  <sheetFormatPr defaultRowHeight="13.2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9" sqref="E19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GWARANCJE otrzymane - aktualne </vt:lpstr>
      <vt:lpstr>GWARANCJE w ramach linii PGE</vt:lpstr>
      <vt:lpstr>weksle otrzymane</vt:lpstr>
      <vt:lpstr>weksle wydane</vt:lpstr>
      <vt:lpstr>poręczenia otrzymane</vt:lpstr>
      <vt:lpstr>poręczenia wydane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Raplis Agnieszka</dc:creator>
  <cp:lastModifiedBy>Raplis Agnieszka</cp:lastModifiedBy>
  <dcterms:created xsi:type="dcterms:W3CDTF">2024-01-05T08:18:44Z</dcterms:created>
  <dcterms:modified xsi:type="dcterms:W3CDTF">2025-10-22T08:26:56Z</dcterms:modified>
</cp:coreProperties>
</file>