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"/>
    </mc:Choice>
  </mc:AlternateContent>
  <bookViews>
    <workbookView xWindow="0" yWindow="0" windowWidth="28800" windowHeight="11448" activeTab="1"/>
  </bookViews>
  <sheets>
    <sheet name="WYK i PF" sheetId="1" r:id="rId1"/>
    <sheet name="PF_2025_RZI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3" l="1"/>
  <c r="P52" i="3"/>
  <c r="P37" i="3"/>
  <c r="P32" i="3"/>
  <c r="P31" i="3"/>
  <c r="P27" i="3"/>
  <c r="P26" i="3"/>
  <c r="P25" i="3"/>
  <c r="P24" i="3"/>
  <c r="P20" i="3"/>
  <c r="P19" i="3"/>
  <c r="P18" i="3"/>
  <c r="O17" i="3"/>
  <c r="N17" i="3"/>
  <c r="M17" i="3"/>
  <c r="L17" i="3"/>
  <c r="K17" i="3"/>
  <c r="J17" i="3"/>
  <c r="I17" i="3"/>
  <c r="H17" i="3"/>
  <c r="G17" i="3"/>
  <c r="F17" i="3"/>
  <c r="E17" i="3"/>
  <c r="D17" i="3"/>
  <c r="O15" i="3"/>
  <c r="O22" i="3" s="1"/>
  <c r="O29" i="3" s="1"/>
  <c r="N15" i="3"/>
  <c r="N22" i="3" s="1"/>
  <c r="N29" i="3" s="1"/>
  <c r="M15" i="3"/>
  <c r="M22" i="3" s="1"/>
  <c r="M29" i="3" s="1"/>
  <c r="M56" i="3" s="1"/>
  <c r="L15" i="3"/>
  <c r="L22" i="3" s="1"/>
  <c r="L29" i="3" s="1"/>
  <c r="L56" i="3" s="1"/>
  <c r="K15" i="3"/>
  <c r="K22" i="3" s="1"/>
  <c r="K29" i="3" s="1"/>
  <c r="J15" i="3"/>
  <c r="J22" i="3" s="1"/>
  <c r="J29" i="3" s="1"/>
  <c r="I15" i="3"/>
  <c r="H15" i="3"/>
  <c r="H22" i="3" s="1"/>
  <c r="H29" i="3" s="1"/>
  <c r="G15" i="3"/>
  <c r="F15" i="3"/>
  <c r="F22" i="3" s="1"/>
  <c r="F29" i="3" s="1"/>
  <c r="E15" i="3"/>
  <c r="E22" i="3" s="1"/>
  <c r="E29" i="3" s="1"/>
  <c r="D15" i="3"/>
  <c r="P12" i="3"/>
  <c r="P11" i="3"/>
  <c r="P10" i="3"/>
  <c r="P8" i="3"/>
  <c r="G22" i="3" l="1"/>
  <c r="G29" i="3" s="1"/>
  <c r="G35" i="3" s="1"/>
  <c r="G39" i="3" s="1"/>
  <c r="G45" i="3" s="1"/>
  <c r="M35" i="3"/>
  <c r="M39" i="3" s="1"/>
  <c r="M45" i="3" s="1"/>
  <c r="F35" i="3"/>
  <c r="F39" i="3" s="1"/>
  <c r="F45" i="3" s="1"/>
  <c r="F56" i="3"/>
  <c r="E56" i="3"/>
  <c r="E35" i="3"/>
  <c r="E39" i="3" s="1"/>
  <c r="E45" i="3" s="1"/>
  <c r="H35" i="3"/>
  <c r="H39" i="3" s="1"/>
  <c r="H45" i="3" s="1"/>
  <c r="H56" i="3"/>
  <c r="I22" i="3"/>
  <c r="I29" i="3" s="1"/>
  <c r="N56" i="3"/>
  <c r="N35" i="3"/>
  <c r="N39" i="3" s="1"/>
  <c r="N45" i="3" s="1"/>
  <c r="L35" i="3"/>
  <c r="L39" i="3" s="1"/>
  <c r="L45" i="3" s="1"/>
  <c r="O56" i="3"/>
  <c r="O35" i="3"/>
  <c r="O39" i="3" s="1"/>
  <c r="O45" i="3" s="1"/>
  <c r="J35" i="3"/>
  <c r="J39" i="3" s="1"/>
  <c r="J45" i="3" s="1"/>
  <c r="J56" i="3"/>
  <c r="K35" i="3"/>
  <c r="K39" i="3" s="1"/>
  <c r="K45" i="3" s="1"/>
  <c r="K56" i="3"/>
  <c r="P15" i="3"/>
  <c r="P17" i="3"/>
  <c r="D22" i="3"/>
  <c r="D29" i="3" s="1"/>
  <c r="P22" i="3" l="1"/>
  <c r="P29" i="3" s="1"/>
  <c r="P56" i="3" s="1"/>
  <c r="G56" i="3"/>
  <c r="D56" i="3"/>
  <c r="D35" i="3"/>
  <c r="D39" i="3" s="1"/>
  <c r="D45" i="3" s="1"/>
  <c r="I35" i="3"/>
  <c r="I39" i="3" s="1"/>
  <c r="I45" i="3" s="1"/>
  <c r="I56" i="3"/>
  <c r="P35" i="3" l="1"/>
  <c r="P39" i="3" s="1"/>
  <c r="P45" i="3" s="1"/>
  <c r="B26" i="1" l="1"/>
  <c r="B22" i="1"/>
  <c r="B19" i="1"/>
  <c r="B15" i="1"/>
  <c r="B14" i="1"/>
  <c r="B13" i="1"/>
  <c r="C26" i="1"/>
  <c r="C19" i="1"/>
  <c r="C15" i="1"/>
  <c r="C14" i="1"/>
  <c r="C13" i="1"/>
  <c r="D26" i="1"/>
  <c r="D19" i="1"/>
  <c r="D15" i="1"/>
  <c r="D14" i="1"/>
  <c r="D13" i="1"/>
  <c r="D12" i="1" l="1"/>
  <c r="D11" i="1"/>
  <c r="C36" i="1"/>
  <c r="B36" i="1"/>
  <c r="C32" i="1"/>
  <c r="B32" i="1"/>
  <c r="C29" i="1"/>
  <c r="B29" i="1"/>
  <c r="C24" i="1"/>
  <c r="B24" i="1"/>
  <c r="C17" i="1"/>
  <c r="B17" i="1"/>
  <c r="C12" i="1"/>
  <c r="B12" i="1"/>
  <c r="C11" i="1"/>
  <c r="B11" i="1"/>
  <c r="B16" i="1" l="1"/>
  <c r="B20" i="1" s="1"/>
  <c r="B23" i="1" s="1"/>
  <c r="C16" i="1"/>
  <c r="C20" i="1" s="1"/>
  <c r="C23" i="1" s="1"/>
  <c r="D16" i="1"/>
  <c r="D20" i="1" s="1"/>
  <c r="D23" i="1" s="1"/>
  <c r="B37" i="1" l="1"/>
  <c r="B38" i="1" s="1"/>
  <c r="C37" i="1"/>
  <c r="C38" i="1" s="1"/>
  <c r="C28" i="1"/>
  <c r="C31" i="1" s="1"/>
  <c r="C35" i="1" s="1"/>
  <c r="D37" i="1"/>
  <c r="D38" i="1" s="1"/>
  <c r="D28" i="1"/>
  <c r="D31" i="1" s="1"/>
  <c r="D35" i="1" s="1"/>
  <c r="B28" i="1"/>
  <c r="B31" i="1" s="1"/>
  <c r="B35" i="1" s="1"/>
</calcChain>
</file>

<file path=xl/sharedStrings.xml><?xml version="1.0" encoding="utf-8"?>
<sst xmlns="http://schemas.openxmlformats.org/spreadsheetml/2006/main" count="392" uniqueCount="84">
  <si>
    <t xml:space="preserve">Przychody ze sprzedaży towarów i produktów bez wyłączenia akcyzy </t>
  </si>
  <si>
    <t>Podatek akcyzowy</t>
  </si>
  <si>
    <t>Przychody netto ze sprzedaży towarów i materiałów</t>
  </si>
  <si>
    <t>Przychody ze sprzedaży usług</t>
  </si>
  <si>
    <t>Przychody z najmu i leasingu</t>
  </si>
  <si>
    <t>Przychody ze sprzedaży ogółem</t>
  </si>
  <si>
    <t>Koszt własny sprzedaży</t>
  </si>
  <si>
    <t>Koszty zmienne</t>
  </si>
  <si>
    <t xml:space="preserve">Koszty stałe </t>
  </si>
  <si>
    <t>Wartość sprzedanych towarów i materiałów</t>
  </si>
  <si>
    <r>
      <t>Zysk brutto ze sprzedaży</t>
    </r>
    <r>
      <rPr>
        <sz val="9"/>
        <rFont val="Arial"/>
        <family val="2"/>
        <charset val="238"/>
      </rPr>
      <t xml:space="preserve"> </t>
    </r>
  </si>
  <si>
    <r>
      <t>% przychodów ze sprzedaży ogółem</t>
    </r>
    <r>
      <rPr>
        <sz val="8"/>
        <rFont val="Arial"/>
        <family val="2"/>
        <charset val="238"/>
      </rPr>
      <t xml:space="preserve"> </t>
    </r>
  </si>
  <si>
    <t>Koszty sprzedaży i dystrybucji</t>
  </si>
  <si>
    <t>Koszty ogólnego zarządu</t>
  </si>
  <si>
    <t xml:space="preserve">Zysk netto ze sprzedaży </t>
  </si>
  <si>
    <t xml:space="preserve">Pozostałe przychody operacyjne </t>
  </si>
  <si>
    <t xml:space="preserve">Pozostałe koszty operacyjne </t>
  </si>
  <si>
    <t>EBIT</t>
  </si>
  <si>
    <t>Przychody finansowe</t>
  </si>
  <si>
    <t>Koszty finansowe</t>
  </si>
  <si>
    <t>Udział w zysku jednostek stowarzyszonych</t>
  </si>
  <si>
    <r>
      <t>Zysk brutto</t>
    </r>
    <r>
      <rPr>
        <sz val="9"/>
        <rFont val="Arial"/>
        <family val="2"/>
        <charset val="238"/>
      </rPr>
      <t xml:space="preserve"> </t>
    </r>
  </si>
  <si>
    <t xml:space="preserve">Podatek dochodowy </t>
  </si>
  <si>
    <r>
      <t>Zysk netto z działalności kontynuowanej</t>
    </r>
    <r>
      <rPr>
        <sz val="9"/>
        <rFont val="Arial"/>
        <family val="2"/>
        <charset val="238"/>
      </rPr>
      <t xml:space="preserve"> </t>
    </r>
  </si>
  <si>
    <r>
      <t>Działalność zaniechana</t>
    </r>
    <r>
      <rPr>
        <sz val="9"/>
        <rFont val="Arial"/>
        <family val="2"/>
        <charset val="238"/>
      </rPr>
      <t xml:space="preserve"> </t>
    </r>
  </si>
  <si>
    <t xml:space="preserve">Zysk za rok obrotowy na działalności zaniechanej </t>
  </si>
  <si>
    <r>
      <t>Zysk netto</t>
    </r>
    <r>
      <rPr>
        <sz val="9"/>
        <rFont val="Arial"/>
        <family val="2"/>
        <charset val="238"/>
      </rPr>
      <t xml:space="preserve"> </t>
    </r>
  </si>
  <si>
    <t>EBITDA</t>
  </si>
  <si>
    <t>amortyzacja</t>
  </si>
  <si>
    <t>ELTUR-SERWIS sp. z o.o.</t>
  </si>
  <si>
    <t>Rachunek zysków i strat w PLN</t>
  </si>
  <si>
    <t>Wykonanie za okres I - IX/2025</t>
  </si>
  <si>
    <t>01-09/2025 Wyk</t>
  </si>
  <si>
    <t>01-09/2025 Plan</t>
  </si>
  <si>
    <t>01-12/2025 Plan</t>
  </si>
  <si>
    <t>RZiS</t>
  </si>
  <si>
    <t/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</si>
  <si>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</si>
  <si>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</si>
  <si>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</si>
  <si>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</si>
  <si>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</si>
  <si>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</si>
  <si>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</si>
  <si>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</si>
  <si>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</si>
  <si>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</si>
  <si>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</si>
  <si>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</si>
  <si>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RZW001100000 - Przychody ze sprzedaży towarów i produktów bez wyłączenia podatków i opłat stron trzecich</t>
  </si>
  <si>
    <t>RZW001200000 - Podatki i opłaty pobrane w imieniu stron trzecich</t>
  </si>
  <si>
    <t>RZW011000000 - Przychody ze sprzedaży towarów i produktów</t>
  </si>
  <si>
    <t>RZW012000000 - Przychody ze sprzedaży usług</t>
  </si>
  <si>
    <t>RZW013000000 - Przychody z leasingu i wynajmu</t>
  </si>
  <si>
    <t>RZW014000000 - Przychody z tytułu rekompensat KDT /Ustawa prądowa /Rekompensaty EE</t>
  </si>
  <si>
    <t>RZW010000000 - Przychody ze sprzedaży</t>
  </si>
  <si>
    <t>RZW020000000 - Koszt własny sprzedaży</t>
  </si>
  <si>
    <t>RKW024100000 - ZAKUP - Koszt własny sprzedaży - Koszt wytworzenia sprzedanych produktów - Koszty zmienne</t>
  </si>
  <si>
    <t>RKW024200000 - ZAKUP - Koszt własny sprzedaży - Koszt wytworzenia sprzedanych produktów - Koszty stałe bezpośrednie</t>
  </si>
  <si>
    <t>RKW025000000 - ZAKUP - Koszt własny sprzedaży - Wartość sprzedanych towarów i materiałów</t>
  </si>
  <si>
    <t>RZW030000000 - Zysk /(strata) brutto ze sprzedaży</t>
  </si>
  <si>
    <t>RZW040000000 - Pozostałe przychody operacyjne</t>
  </si>
  <si>
    <t>RZW050000000 - Koszty sprzedaży</t>
  </si>
  <si>
    <t>RZW060000000 - Koszty ogólnego zarządu</t>
  </si>
  <si>
    <t>RZW070000000 - Pozostałe koszty operacyjne</t>
  </si>
  <si>
    <t>RZW080000000 - Zysk /(strata) z działalności operacyjnej</t>
  </si>
  <si>
    <t>RZW090000000 - Przychody finansowe</t>
  </si>
  <si>
    <t>RZW100000000 - Koszty finansowe</t>
  </si>
  <si>
    <t>RZW110000000 - Udział w zysku jednostki stowarzyszonej</t>
  </si>
  <si>
    <t>RZW120000000 - Zysk /(strata) brutto</t>
  </si>
  <si>
    <t>RZW130000000 - Podatek dochodowy</t>
  </si>
  <si>
    <t>RZW140000000 - Zysk /(strata) netto z działalności kontynuowanej</t>
  </si>
  <si>
    <t>Działalność zaniechana</t>
  </si>
  <si>
    <t>RZW150000000 - Zysk /(strata) za rok obrotowy z działalności zaniechanej</t>
  </si>
  <si>
    <t>RZW160000000 - Zysk /(strata) netto za okres sprawozdawczy</t>
  </si>
  <si>
    <t>Zysk netto przypadajacy:</t>
  </si>
  <si>
    <t>RZW161000000 - Zysk /(strata) netto za okres sprawozdawczy przypadający - właścicielom jednostki dominującej</t>
  </si>
  <si>
    <t>RZW165000000 - Zysk /(strata) netto za okres sprawozdawczy - udziały niedające kontroli</t>
  </si>
  <si>
    <t>RRW021100000 - KORODZ - Amortyzacja - bez prawa do użytkowania składników aktywów</t>
  </si>
  <si>
    <t>RRW021100100 - KORODZ - Amortyzacja - w tym: amortyzacja aktywowana</t>
  </si>
  <si>
    <t>RRW021101000 - KORODZ - Amortyzacja - prawa do użytkowania składników aktywów</t>
  </si>
  <si>
    <t>RSW081000000 - PS - EBITDA</t>
  </si>
  <si>
    <t xml:space="preserve">Plan </t>
  </si>
  <si>
    <t>Okresowo
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</si>
</sst>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%"/>
    <numFmt numFmtId="166" formatCode="###,###,##0.00"/>
  </numFmts>
  <fonts count="28">
    <font>
      <sz val="11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6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Ct Font Dlg"/>
    </font>
    <font>
      <sz val="9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2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hair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ck">
        <color rgb="FF000000"/>
      </bottom>
      <diagonal/>
    </border>
    <border>
      <left style="thin">
        <color rgb="FFC0C0C0"/>
      </left>
      <right/>
      <top style="thin">
        <color rgb="FFC0C0C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ck">
        <color rgb="FF000000"/>
      </bottom>
      <diagonal/>
    </border>
    <border>
      <left/>
      <right style="thin">
        <color rgb="FFC0C0C0"/>
      </right>
      <top style="thin">
        <color rgb="FFC0C0C0"/>
      </top>
      <bottom style="thick">
        <color rgb="FF000000"/>
      </bottom>
      <diagonal/>
    </border>
    <border>
      <left/>
      <right/>
      <top style="thin">
        <color rgb="FFC0C0C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12" fillId="0" borderId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11" xfId="0" applyNumberFormat="1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165" fontId="7" fillId="0" borderId="11" xfId="1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5" fontId="7" fillId="0" borderId="12" xfId="1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165" fontId="7" fillId="3" borderId="11" xfId="1" applyNumberFormat="1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vertical="center" wrapText="1"/>
    </xf>
    <xf numFmtId="164" fontId="6" fillId="3" borderId="16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0" fillId="0" borderId="0" xfId="0" applyFont="1" applyFill="1"/>
    <xf numFmtId="0" fontId="11" fillId="0" borderId="0" xfId="0" applyFont="1" applyFill="1"/>
    <xf numFmtId="0" fontId="13" fillId="0" borderId="0" xfId="2" applyFont="1" applyFill="1" applyBorder="1" applyProtection="1"/>
    <xf numFmtId="0" fontId="0" fillId="0" borderId="0" xfId="0" applyFill="1"/>
    <xf numFmtId="0" fontId="14" fillId="0" borderId="0" xfId="3"/>
    <xf numFmtId="0" fontId="14" fillId="0" borderId="0" xfId="3" applyFill="1"/>
    <xf numFmtId="4" fontId="14" fillId="0" borderId="0" xfId="3" applyNumberFormat="1"/>
    <xf numFmtId="4" fontId="14" fillId="0" borderId="0" xfId="3" applyNumberFormat="1" applyFill="1"/>
    <xf numFmtId="0" fontId="14" fillId="0" borderId="0" xfId="3" applyFont="1"/>
    <xf numFmtId="0" fontId="15" fillId="0" borderId="18" xfId="3" applyFont="1" applyFill="1" applyBorder="1" applyAlignment="1">
      <alignment horizontal="center" vertical="center" wrapText="1"/>
    </xf>
    <xf numFmtId="0" fontId="14" fillId="0" borderId="0" xfId="3" applyAlignment="1">
      <alignment horizontal="right"/>
    </xf>
    <xf numFmtId="0" fontId="14" fillId="0" borderId="0" xfId="3" applyFill="1" applyAlignment="1">
      <alignment horizontal="left" vertical="top"/>
    </xf>
    <xf numFmtId="0" fontId="14" fillId="0" borderId="0" xfId="3" applyAlignment="1">
      <alignment horizontal="left" vertical="top"/>
    </xf>
    <xf numFmtId="0" fontId="18" fillId="0" borderId="0" xfId="3" applyFont="1" applyAlignment="1">
      <alignment horizontal="left" vertical="top" wrapText="1"/>
    </xf>
    <xf numFmtId="0" fontId="18" fillId="0" borderId="0" xfId="3" applyFont="1" applyAlignment="1">
      <alignment horizontal="left" vertical="center" wrapText="1"/>
    </xf>
    <xf numFmtId="0" fontId="18" fillId="0" borderId="0" xfId="3" applyFont="1" applyFill="1" applyAlignment="1">
      <alignment horizontal="left" vertical="top" wrapText="1"/>
    </xf>
    <xf numFmtId="0" fontId="18" fillId="0" borderId="0" xfId="3" applyFont="1" applyAlignment="1">
      <alignment horizontal="right" vertical="center"/>
    </xf>
    <xf numFmtId="0" fontId="20" fillId="0" borderId="17" xfId="3" applyFont="1" applyBorder="1" applyAlignment="1">
      <alignment horizontal="left" vertical="center" wrapText="1"/>
    </xf>
    <xf numFmtId="166" fontId="21" fillId="0" borderId="19" xfId="3" applyNumberFormat="1" applyFont="1" applyBorder="1" applyAlignment="1">
      <alignment horizontal="right" vertical="center"/>
    </xf>
    <xf numFmtId="166" fontId="21" fillId="0" borderId="18" xfId="3" applyNumberFormat="1" applyFont="1" applyBorder="1" applyAlignment="1">
      <alignment horizontal="right" vertical="center"/>
    </xf>
    <xf numFmtId="166" fontId="21" fillId="0" borderId="20" xfId="3" applyNumberFormat="1" applyFont="1" applyBorder="1" applyAlignment="1">
      <alignment horizontal="right" vertical="center"/>
    </xf>
    <xf numFmtId="0" fontId="20" fillId="0" borderId="22" xfId="3" applyFont="1" applyBorder="1" applyAlignment="1">
      <alignment horizontal="left" vertical="center" wrapText="1"/>
    </xf>
    <xf numFmtId="166" fontId="21" fillId="0" borderId="22" xfId="3" applyNumberFormat="1" applyFont="1" applyBorder="1" applyAlignment="1">
      <alignment horizontal="right" vertical="center"/>
    </xf>
    <xf numFmtId="166" fontId="21" fillId="0" borderId="23" xfId="3" applyNumberFormat="1" applyFont="1" applyBorder="1" applyAlignment="1">
      <alignment horizontal="right" vertical="center"/>
    </xf>
    <xf numFmtId="166" fontId="21" fillId="0" borderId="24" xfId="3" applyNumberFormat="1" applyFont="1" applyBorder="1" applyAlignment="1">
      <alignment horizontal="right" vertical="center"/>
    </xf>
    <xf numFmtId="0" fontId="22" fillId="0" borderId="22" xfId="3" applyFont="1" applyFill="1" applyBorder="1" applyAlignment="1">
      <alignment horizontal="left" vertical="center" wrapText="1"/>
    </xf>
    <xf numFmtId="166" fontId="22" fillId="0" borderId="22" xfId="3" applyNumberFormat="1" applyFont="1" applyFill="1" applyBorder="1" applyAlignment="1">
      <alignment horizontal="right" vertical="center"/>
    </xf>
    <xf numFmtId="166" fontId="22" fillId="0" borderId="23" xfId="3" applyNumberFormat="1" applyFont="1" applyFill="1" applyBorder="1" applyAlignment="1">
      <alignment horizontal="right" vertical="center"/>
    </xf>
    <xf numFmtId="166" fontId="22" fillId="0" borderId="24" xfId="3" applyNumberFormat="1" applyFont="1" applyFill="1" applyBorder="1" applyAlignment="1">
      <alignment horizontal="right" vertical="center"/>
    </xf>
    <xf numFmtId="0" fontId="22" fillId="0" borderId="22" xfId="3" applyFont="1" applyBorder="1" applyAlignment="1">
      <alignment horizontal="left" vertical="center" wrapText="1"/>
    </xf>
    <xf numFmtId="0" fontId="14" fillId="0" borderId="0" xfId="3" applyFont="1" applyFill="1"/>
    <xf numFmtId="0" fontId="19" fillId="0" borderId="0" xfId="3" applyFont="1" applyFill="1" applyAlignment="1">
      <alignment horizontal="left" vertical="top" wrapText="1"/>
    </xf>
    <xf numFmtId="0" fontId="22" fillId="0" borderId="19" xfId="3" applyFont="1" applyBorder="1" applyAlignment="1">
      <alignment horizontal="left" vertical="center" wrapText="1"/>
    </xf>
    <xf numFmtId="166" fontId="21" fillId="0" borderId="20" xfId="3" applyNumberFormat="1" applyFont="1" applyFill="1" applyBorder="1" applyAlignment="1">
      <alignment horizontal="right" vertical="center"/>
    </xf>
    <xf numFmtId="0" fontId="16" fillId="0" borderId="0" xfId="3" applyFont="1" applyAlignment="1">
      <alignment horizontal="left" vertical="center" wrapText="1"/>
    </xf>
    <xf numFmtId="166" fontId="22" fillId="0" borderId="0" xfId="3" applyNumberFormat="1" applyFont="1" applyAlignment="1">
      <alignment horizontal="right" vertical="center"/>
    </xf>
    <xf numFmtId="0" fontId="23" fillId="0" borderId="0" xfId="3" applyFont="1" applyFill="1"/>
    <xf numFmtId="0" fontId="25" fillId="0" borderId="0" xfId="3" applyFont="1" applyFill="1" applyAlignment="1">
      <alignment horizontal="left" vertical="top" wrapText="1"/>
    </xf>
    <xf numFmtId="0" fontId="26" fillId="0" borderId="0" xfId="3" applyFont="1" applyAlignment="1">
      <alignment horizontal="left" vertical="center" wrapText="1"/>
    </xf>
    <xf numFmtId="0" fontId="26" fillId="0" borderId="0" xfId="3" applyFont="1" applyAlignment="1">
      <alignment horizontal="right" vertical="center"/>
    </xf>
    <xf numFmtId="166" fontId="21" fillId="0" borderId="24" xfId="3" applyNumberFormat="1" applyFont="1" applyFill="1" applyBorder="1" applyAlignment="1">
      <alignment horizontal="right" vertical="center"/>
    </xf>
    <xf numFmtId="0" fontId="14" fillId="0" borderId="0" xfId="3" applyFont="1" applyBorder="1"/>
    <xf numFmtId="166" fontId="14" fillId="0" borderId="0" xfId="3" applyNumberFormat="1"/>
    <xf numFmtId="0" fontId="27" fillId="4" borderId="0" xfId="3" applyFont="1" applyFill="1" applyAlignment="1">
      <alignment horizontal="center" vertical="center"/>
    </xf>
    <xf numFmtId="0" fontId="16" fillId="4" borderId="19" xfId="3" applyFont="1" applyFill="1" applyBorder="1" applyAlignment="1">
      <alignment horizontal="center" vertical="center" wrapText="1"/>
    </xf>
    <xf numFmtId="0" fontId="16" fillId="4" borderId="18" xfId="3" applyFont="1" applyFill="1" applyBorder="1" applyAlignment="1">
      <alignment horizontal="center" vertical="center" wrapText="1"/>
    </xf>
    <xf numFmtId="0" fontId="16" fillId="4" borderId="20" xfId="3" applyFont="1" applyFill="1" applyBorder="1" applyAlignment="1">
      <alignment horizontal="center" vertical="center" wrapText="1"/>
    </xf>
    <xf numFmtId="0" fontId="17" fillId="5" borderId="25" xfId="3" applyFont="1" applyFill="1" applyBorder="1" applyAlignment="1">
      <alignment horizontal="center" vertical="center" wrapText="1"/>
    </xf>
    <xf numFmtId="0" fontId="14" fillId="4" borderId="0" xfId="3" applyFill="1"/>
    <xf numFmtId="0" fontId="19" fillId="5" borderId="6" xfId="3" applyFont="1" applyFill="1" applyBorder="1" applyAlignment="1">
      <alignment horizontal="left" vertical="top" wrapText="1"/>
    </xf>
    <xf numFmtId="0" fontId="19" fillId="5" borderId="6" xfId="3" applyFont="1" applyFill="1" applyBorder="1" applyAlignment="1">
      <alignment horizontal="right" vertical="center"/>
    </xf>
    <xf numFmtId="166" fontId="19" fillId="5" borderId="21" xfId="3" applyNumberFormat="1" applyFont="1" applyFill="1" applyBorder="1" applyAlignment="1">
      <alignment horizontal="right" vertical="center"/>
    </xf>
    <xf numFmtId="166" fontId="19" fillId="5" borderId="25" xfId="3" applyNumberFormat="1" applyFont="1" applyFill="1" applyBorder="1" applyAlignment="1">
      <alignment horizontal="right" vertical="center"/>
    </xf>
    <xf numFmtId="0" fontId="16" fillId="4" borderId="26" xfId="3" applyFont="1" applyFill="1" applyBorder="1" applyAlignment="1">
      <alignment horizontal="left" vertical="center" wrapText="1"/>
    </xf>
    <xf numFmtId="166" fontId="16" fillId="4" borderId="26" xfId="3" applyNumberFormat="1" applyFont="1" applyFill="1" applyBorder="1" applyAlignment="1">
      <alignment horizontal="right" vertical="center"/>
    </xf>
    <xf numFmtId="166" fontId="16" fillId="4" borderId="27" xfId="3" applyNumberFormat="1" applyFont="1" applyFill="1" applyBorder="1" applyAlignment="1">
      <alignment horizontal="right" vertical="center"/>
    </xf>
    <xf numFmtId="166" fontId="17" fillId="5" borderId="28" xfId="3" applyNumberFormat="1" applyFont="1" applyFill="1" applyBorder="1" applyAlignment="1">
      <alignment horizontal="right" vertical="center"/>
    </xf>
    <xf numFmtId="0" fontId="17" fillId="4" borderId="26" xfId="3" applyFont="1" applyFill="1" applyBorder="1" applyAlignment="1">
      <alignment horizontal="left" vertical="center" wrapText="1"/>
    </xf>
    <xf numFmtId="166" fontId="17" fillId="4" borderId="26" xfId="3" applyNumberFormat="1" applyFont="1" applyFill="1" applyBorder="1" applyAlignment="1">
      <alignment horizontal="right" vertical="center"/>
    </xf>
    <xf numFmtId="166" fontId="17" fillId="4" borderId="29" xfId="3" applyNumberFormat="1" applyFont="1" applyFill="1" applyBorder="1" applyAlignment="1">
      <alignment horizontal="right" vertical="center"/>
    </xf>
    <xf numFmtId="166" fontId="17" fillId="4" borderId="30" xfId="3" applyNumberFormat="1" applyFont="1" applyFill="1" applyBorder="1" applyAlignment="1">
      <alignment horizontal="right" vertical="center"/>
    </xf>
    <xf numFmtId="0" fontId="14" fillId="4" borderId="0" xfId="3" applyFont="1" applyFill="1"/>
    <xf numFmtId="166" fontId="17" fillId="4" borderId="27" xfId="3" applyNumberFormat="1" applyFont="1" applyFill="1" applyBorder="1" applyAlignment="1">
      <alignment horizontal="right" vertical="center"/>
    </xf>
    <xf numFmtId="0" fontId="24" fillId="4" borderId="26" xfId="3" applyFont="1" applyFill="1" applyBorder="1" applyAlignment="1">
      <alignment horizontal="left" vertical="center" wrapText="1"/>
    </xf>
    <xf numFmtId="166" fontId="24" fillId="4" borderId="26" xfId="3" applyNumberFormat="1" applyFont="1" applyFill="1" applyBorder="1" applyAlignment="1">
      <alignment horizontal="right" vertical="center"/>
    </xf>
    <xf numFmtId="166" fontId="24" fillId="4" borderId="27" xfId="3" applyNumberFormat="1" applyFont="1" applyFill="1" applyBorder="1" applyAlignment="1">
      <alignment horizontal="right" vertical="center"/>
    </xf>
    <xf numFmtId="0" fontId="23" fillId="4" borderId="0" xfId="3" applyFont="1" applyFill="1"/>
    <xf numFmtId="166" fontId="19" fillId="5" borderId="6" xfId="3" applyNumberFormat="1" applyFont="1" applyFill="1" applyBorder="1" applyAlignment="1">
      <alignment horizontal="right" vertical="center"/>
    </xf>
    <xf numFmtId="43" fontId="19" fillId="5" borderId="6" xfId="4" applyFont="1" applyFill="1" applyBorder="1" applyAlignment="1">
      <alignment horizontal="right" vertical="center"/>
    </xf>
    <xf numFmtId="166" fontId="17" fillId="5" borderId="31" xfId="3" applyNumberFormat="1" applyFont="1" applyFill="1" applyBorder="1" applyAlignment="1">
      <alignment horizontal="right" vertical="center"/>
    </xf>
  </cellXfs>
  <cellStyles count="6">
    <cellStyle name="Dziesiętny 2" xfId="4"/>
    <cellStyle name="Normalny" xfId="0" builtinId="0"/>
    <cellStyle name="Normalny 2" xfId="3"/>
    <cellStyle name="Normalny_rodzajówka" xfId="2"/>
    <cellStyle name="Procentowy 2" xfId="5"/>
    <cellStyle name="Procentowy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H23" sqref="H23"/>
    </sheetView>
  </sheetViews>
  <sheetFormatPr defaultRowHeight="14.4"/>
  <cols>
    <col min="1" max="1" width="29.6640625" customWidth="1"/>
    <col min="2" max="2" width="21.88671875" customWidth="1"/>
    <col min="3" max="4" width="19.88671875" customWidth="1"/>
  </cols>
  <sheetData>
    <row r="1" spans="1:4" ht="17.399999999999999">
      <c r="A1" s="32" t="s">
        <v>29</v>
      </c>
    </row>
    <row r="2" spans="1:4">
      <c r="A2" s="33" t="s">
        <v>30</v>
      </c>
    </row>
    <row r="3" spans="1:4">
      <c r="A3" s="34" t="s">
        <v>31</v>
      </c>
    </row>
    <row r="4" spans="1:4">
      <c r="A4" s="34"/>
      <c r="B4" s="35"/>
      <c r="C4" s="35"/>
    </row>
    <row r="5" spans="1:4">
      <c r="A5" s="1"/>
      <c r="B5" s="2" t="s">
        <v>32</v>
      </c>
      <c r="C5" s="2" t="s">
        <v>33</v>
      </c>
      <c r="D5" s="2" t="s">
        <v>34</v>
      </c>
    </row>
    <row r="6" spans="1:4" ht="22.8">
      <c r="A6" s="4" t="s">
        <v>0</v>
      </c>
      <c r="B6" s="5">
        <v>0</v>
      </c>
      <c r="C6" s="6">
        <v>0</v>
      </c>
      <c r="D6" s="6">
        <v>0</v>
      </c>
    </row>
    <row r="7" spans="1:4">
      <c r="A7" s="7" t="s">
        <v>1</v>
      </c>
      <c r="B7" s="8">
        <v>0</v>
      </c>
      <c r="C7" s="9">
        <v>0</v>
      </c>
      <c r="D7" s="9">
        <v>0</v>
      </c>
    </row>
    <row r="8" spans="1:4" ht="22.8">
      <c r="A8" s="7" t="s">
        <v>2</v>
      </c>
      <c r="B8" s="10">
        <v>17909.87</v>
      </c>
      <c r="C8" s="11">
        <v>72389</v>
      </c>
      <c r="D8" s="11">
        <v>86665</v>
      </c>
    </row>
    <row r="9" spans="1:4">
      <c r="A9" s="7" t="s">
        <v>3</v>
      </c>
      <c r="B9" s="10">
        <v>119131718.89</v>
      </c>
      <c r="C9" s="11">
        <v>102718589.25</v>
      </c>
      <c r="D9" s="11">
        <v>149736569.56</v>
      </c>
    </row>
    <row r="10" spans="1:4">
      <c r="A10" s="7" t="s">
        <v>4</v>
      </c>
      <c r="B10" s="10">
        <v>116591.91</v>
      </c>
      <c r="C10" s="11">
        <v>20141.909999999996</v>
      </c>
      <c r="D10" s="11">
        <v>26855.87999999999</v>
      </c>
    </row>
    <row r="11" spans="1:4">
      <c r="A11" s="12" t="s">
        <v>5</v>
      </c>
      <c r="B11" s="13">
        <f t="shared" ref="B11" si="0">SUM(B8:B10)</f>
        <v>119266220.67</v>
      </c>
      <c r="C11" s="14">
        <f>SUM(C8:C10)</f>
        <v>102811120.16</v>
      </c>
      <c r="D11" s="14">
        <f>SUM(D8:D10)</f>
        <v>149850090.44</v>
      </c>
    </row>
    <row r="12" spans="1:4">
      <c r="A12" s="15" t="s">
        <v>6</v>
      </c>
      <c r="B12" s="16">
        <f>SUM(B13:B15)</f>
        <v>-102874818.31000021</v>
      </c>
      <c r="C12" s="16">
        <f>SUM(C13:C15)</f>
        <v>-92682461.5</v>
      </c>
      <c r="D12" s="16">
        <f>SUM(D13:D15)</f>
        <v>-127333124.48</v>
      </c>
    </row>
    <row r="13" spans="1:4">
      <c r="A13" s="7" t="s">
        <v>7</v>
      </c>
      <c r="B13" s="11">
        <f>-36007593.67</f>
        <v>-36007593.670000002</v>
      </c>
      <c r="C13" s="11">
        <f>-18284087.21</f>
        <v>-18284087.210000001</v>
      </c>
      <c r="D13" s="11">
        <f>-29343695.26</f>
        <v>-29343695.260000002</v>
      </c>
    </row>
    <row r="14" spans="1:4">
      <c r="A14" s="7" t="s">
        <v>8</v>
      </c>
      <c r="B14" s="11">
        <f>-66850575.2100002</f>
        <v>-66850575.210000202</v>
      </c>
      <c r="C14" s="11">
        <f>-74326710.29</f>
        <v>-74326710.290000007</v>
      </c>
      <c r="D14" s="11">
        <f>-97903631.22</f>
        <v>-97903631.219999999</v>
      </c>
    </row>
    <row r="15" spans="1:4" ht="22.8">
      <c r="A15" s="7" t="s">
        <v>9</v>
      </c>
      <c r="B15" s="11">
        <f>-16649.43</f>
        <v>-16649.43</v>
      </c>
      <c r="C15" s="11">
        <f>-71664</f>
        <v>-71664</v>
      </c>
      <c r="D15" s="11">
        <f>-85798</f>
        <v>-85798</v>
      </c>
    </row>
    <row r="16" spans="1:4">
      <c r="A16" s="17" t="s">
        <v>10</v>
      </c>
      <c r="B16" s="16">
        <f>SUM(B11:B12)</f>
        <v>16391402.359999791</v>
      </c>
      <c r="C16" s="16">
        <f>SUM(C11:C12)</f>
        <v>10128658.659999996</v>
      </c>
      <c r="D16" s="16">
        <f>SUM(D11:D12)</f>
        <v>22516965.959999993</v>
      </c>
    </row>
    <row r="17" spans="1:4">
      <c r="A17" s="18" t="s">
        <v>11</v>
      </c>
      <c r="B17" s="19" t="str">
        <f>IF(B$18=0,"-",B16/B$18)</f>
        <v>-</v>
      </c>
      <c r="C17" s="19" t="str">
        <f>IF(C$18=0,"-",C16/C$18)</f>
        <v>-</v>
      </c>
      <c r="D17" s="19"/>
    </row>
    <row r="18" spans="1:4">
      <c r="A18" s="4" t="s">
        <v>12</v>
      </c>
      <c r="B18" s="20">
        <v>0</v>
      </c>
      <c r="C18" s="11">
        <v>0</v>
      </c>
      <c r="D18" s="11"/>
    </row>
    <row r="19" spans="1:4">
      <c r="A19" s="7" t="s">
        <v>13</v>
      </c>
      <c r="B19" s="20">
        <f>-12837409.4</f>
        <v>-12837409.4</v>
      </c>
      <c r="C19" s="11">
        <f>-12946507.83</f>
        <v>-12946507.83</v>
      </c>
      <c r="D19" s="11">
        <f>-17262010.56</f>
        <v>-17262010.559999999</v>
      </c>
    </row>
    <row r="20" spans="1:4">
      <c r="A20" s="17" t="s">
        <v>14</v>
      </c>
      <c r="B20" s="16">
        <f>B16+B18+B19</f>
        <v>3553992.9599997904</v>
      </c>
      <c r="C20" s="16">
        <f>C16+C18+C19</f>
        <v>-2817849.1700000037</v>
      </c>
      <c r="D20" s="16">
        <f>D16+D18+D19</f>
        <v>5254955.3999999948</v>
      </c>
    </row>
    <row r="21" spans="1:4">
      <c r="A21" s="7" t="s">
        <v>15</v>
      </c>
      <c r="B21" s="20">
        <v>7325082.9800000004</v>
      </c>
      <c r="C21" s="11">
        <v>164637</v>
      </c>
      <c r="D21" s="11">
        <v>219516</v>
      </c>
    </row>
    <row r="22" spans="1:4">
      <c r="A22" s="7" t="s">
        <v>16</v>
      </c>
      <c r="B22" s="20">
        <f>-331120.36</f>
        <v>-331120.36</v>
      </c>
      <c r="C22" s="11">
        <v>-18990</v>
      </c>
      <c r="D22" s="11">
        <v>-27320</v>
      </c>
    </row>
    <row r="23" spans="1:4">
      <c r="A23" s="17" t="s">
        <v>17</v>
      </c>
      <c r="B23" s="16">
        <f>SUM(B20:B22)</f>
        <v>10547955.579999791</v>
      </c>
      <c r="C23" s="16">
        <f>SUM(C20:C22)</f>
        <v>-2672202.1700000037</v>
      </c>
      <c r="D23" s="16">
        <f>SUM(D20:D22)</f>
        <v>5447151.3999999948</v>
      </c>
    </row>
    <row r="24" spans="1:4">
      <c r="A24" s="18" t="s">
        <v>11</v>
      </c>
      <c r="B24" s="19" t="str">
        <f>IF(B$18=0,"-",B23/B$18)</f>
        <v>-</v>
      </c>
      <c r="C24" s="19" t="str">
        <f>IF(C$18=0,"-",C23/C$18)</f>
        <v>-</v>
      </c>
      <c r="D24" s="19"/>
    </row>
    <row r="25" spans="1:4">
      <c r="A25" s="4" t="s">
        <v>18</v>
      </c>
      <c r="B25" s="21">
        <v>167936.5</v>
      </c>
      <c r="C25" s="21">
        <v>0</v>
      </c>
      <c r="D25" s="21">
        <v>60853.57</v>
      </c>
    </row>
    <row r="26" spans="1:4">
      <c r="A26" s="7" t="s">
        <v>19</v>
      </c>
      <c r="B26" s="11">
        <f>-888198.28</f>
        <v>-888198.28</v>
      </c>
      <c r="C26" s="11">
        <f>-1063779.79</f>
        <v>-1063779.79</v>
      </c>
      <c r="D26" s="11">
        <f>-1367154.71</f>
        <v>-1367154.71</v>
      </c>
    </row>
    <row r="27" spans="1:4" ht="22.8">
      <c r="A27" s="7" t="s">
        <v>20</v>
      </c>
      <c r="B27" s="11">
        <v>0</v>
      </c>
      <c r="C27" s="11">
        <v>0</v>
      </c>
      <c r="D27" s="11"/>
    </row>
    <row r="28" spans="1:4">
      <c r="A28" s="17" t="s">
        <v>21</v>
      </c>
      <c r="B28" s="16">
        <f>B23+SUM(B25:B27)</f>
        <v>9827693.7999997921</v>
      </c>
      <c r="C28" s="16">
        <f>C23+SUM(C25:C27)</f>
        <v>-3735981.9600000037</v>
      </c>
      <c r="D28" s="16">
        <f>D23+SUM(D25:D27)</f>
        <v>4140850.2599999951</v>
      </c>
    </row>
    <row r="29" spans="1:4">
      <c r="A29" s="18" t="s">
        <v>11</v>
      </c>
      <c r="B29" s="22" t="str">
        <f>IF(B$18=0,"-",B28/B$18)</f>
        <v>-</v>
      </c>
      <c r="C29" s="19" t="str">
        <f>IF(C$18=0,"-",C28/C$18)</f>
        <v>-</v>
      </c>
      <c r="D29" s="19"/>
    </row>
    <row r="30" spans="1:4">
      <c r="A30" s="23" t="s">
        <v>22</v>
      </c>
      <c r="B30" s="11">
        <v>1908461.01</v>
      </c>
      <c r="C30" s="11">
        <v>-141156.89000000013</v>
      </c>
      <c r="D30" s="11">
        <v>1418346.5699999998</v>
      </c>
    </row>
    <row r="31" spans="1:4" ht="24">
      <c r="A31" s="17" t="s">
        <v>23</v>
      </c>
      <c r="B31" s="16">
        <f>B28-B30</f>
        <v>7919232.7899997924</v>
      </c>
      <c r="C31" s="16">
        <f>C28-C30</f>
        <v>-3594825.0700000036</v>
      </c>
      <c r="D31" s="16">
        <f>D28-D30</f>
        <v>2722503.6899999953</v>
      </c>
    </row>
    <row r="32" spans="1:4">
      <c r="A32" s="24" t="s">
        <v>11</v>
      </c>
      <c r="B32" s="25" t="str">
        <f>IF(B$18=0,"-",B31/B$18)</f>
        <v>-</v>
      </c>
      <c r="C32" s="25" t="str">
        <f>IF(C$18=0,"-",C31/C$18)</f>
        <v>-</v>
      </c>
      <c r="D32" s="25"/>
    </row>
    <row r="33" spans="1:4">
      <c r="A33" s="3" t="s">
        <v>24</v>
      </c>
      <c r="B33" s="26"/>
      <c r="C33" s="26"/>
      <c r="D33" s="26"/>
    </row>
    <row r="34" spans="1:4" ht="22.8">
      <c r="A34" s="4" t="s">
        <v>25</v>
      </c>
      <c r="B34" s="11">
        <v>0</v>
      </c>
      <c r="C34" s="11">
        <v>0</v>
      </c>
      <c r="D34" s="11"/>
    </row>
    <row r="35" spans="1:4">
      <c r="A35" s="27" t="s">
        <v>26</v>
      </c>
      <c r="B35" s="28">
        <f>B31+B34</f>
        <v>7919232.7899997924</v>
      </c>
      <c r="C35" s="28">
        <f>C31+C34</f>
        <v>-3594825.0700000036</v>
      </c>
      <c r="D35" s="28">
        <f>D31+D34</f>
        <v>2722503.6899999953</v>
      </c>
    </row>
    <row r="36" spans="1:4">
      <c r="A36" s="24" t="s">
        <v>11</v>
      </c>
      <c r="B36" s="25" t="str">
        <f>IF(B$18=0,"-",B35/B$18)</f>
        <v>-</v>
      </c>
      <c r="C36" s="25" t="str">
        <f>IF(C$18=0,"-",C35/C$18)</f>
        <v>-</v>
      </c>
      <c r="D36" s="25"/>
    </row>
    <row r="37" spans="1:4">
      <c r="A37" s="29" t="s">
        <v>27</v>
      </c>
      <c r="B37" s="30">
        <f>B23+B40</f>
        <v>12745276.699999791</v>
      </c>
      <c r="C37" s="30">
        <f>C23+C40</f>
        <v>-2760.4000000036322</v>
      </c>
      <c r="D37" s="30">
        <f>D23+D40</f>
        <v>8844943.099999994</v>
      </c>
    </row>
    <row r="38" spans="1:4">
      <c r="A38" s="24" t="s">
        <v>11</v>
      </c>
      <c r="B38" s="25">
        <f>IF(B$11=0,"-",B37/B$11)</f>
        <v>0.10686409469840535</v>
      </c>
      <c r="C38" s="25">
        <f>IF(C$11=0,"-",C37/C$11)</f>
        <v>-2.684923572185338E-5</v>
      </c>
      <c r="D38" s="25">
        <f>IF(D$11=0,"-",D37/D$11)</f>
        <v>5.9025277022048316E-2</v>
      </c>
    </row>
    <row r="40" spans="1:4">
      <c r="A40" t="s">
        <v>28</v>
      </c>
      <c r="B40" s="31">
        <v>2197321.12</v>
      </c>
      <c r="C40" s="31">
        <v>2669441.77</v>
      </c>
      <c r="D40" s="31">
        <v>3397791.7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9"/>
  <sheetViews>
    <sheetView tabSelected="1" topLeftCell="A4" zoomScale="80" zoomScaleNormal="80" workbookViewId="0">
      <pane xSplit="2" topLeftCell="C1" activePane="topRight" state="frozen"/>
      <selection pane="topRight" activeCell="BA16" sqref="BA16"/>
    </sheetView>
  </sheetViews>
  <sheetFormatPr defaultColWidth="9.109375" defaultRowHeight="14.4"/>
  <cols>
    <col min="1" max="1" width="2.5546875" style="37" customWidth="1"/>
    <col min="2" max="2" width="60.44140625" style="36" customWidth="1"/>
    <col min="3" max="3" width="2.44140625" style="37" customWidth="1"/>
    <col min="4" max="15" width="19.88671875" style="36" customWidth="1"/>
    <col min="16" max="16" width="21.44140625" style="40" customWidth="1"/>
    <col min="17" max="67" width="9.109375" style="37"/>
    <col min="68" max="16384" width="9.109375" style="36"/>
  </cols>
  <sheetData>
    <row r="1" spans="1:67">
      <c r="G1" s="38"/>
      <c r="H1" s="38"/>
      <c r="I1" s="38"/>
      <c r="J1" s="38"/>
      <c r="K1" s="39"/>
      <c r="L1" s="39"/>
      <c r="M1" s="39"/>
      <c r="N1" s="39"/>
      <c r="O1" s="39"/>
    </row>
    <row r="2" spans="1:67" ht="33">
      <c r="B2" s="41" t="s">
        <v>35</v>
      </c>
      <c r="E2" s="38"/>
      <c r="G2" s="38"/>
      <c r="H2" s="38"/>
      <c r="I2" s="38"/>
      <c r="J2" s="38"/>
      <c r="K2" s="39"/>
      <c r="L2" s="39"/>
      <c r="M2" s="39"/>
      <c r="N2" s="39"/>
      <c r="O2" s="39"/>
      <c r="P2" s="42"/>
    </row>
    <row r="3" spans="1:67">
      <c r="H3" s="74"/>
      <c r="K3" s="38"/>
      <c r="L3" s="38"/>
      <c r="O3" s="38"/>
      <c r="P3" s="73"/>
    </row>
    <row r="4" spans="1:67">
      <c r="G4" s="38"/>
      <c r="H4" s="74"/>
      <c r="K4" s="38"/>
      <c r="L4" s="38"/>
      <c r="P4" s="73"/>
    </row>
    <row r="5" spans="1:67" s="80" customFormat="1" ht="57.9" customHeight="1">
      <c r="A5" s="37"/>
      <c r="B5" s="75" t="s">
        <v>82</v>
      </c>
      <c r="C5" s="43" t="s">
        <v>36</v>
      </c>
      <c r="D5" s="76" t="s">
        <v>83</v>
      </c>
      <c r="E5" s="77" t="s">
        <v>37</v>
      </c>
      <c r="F5" s="77" t="s">
        <v>38</v>
      </c>
      <c r="G5" s="77" t="s">
        <v>39</v>
      </c>
      <c r="H5" s="77" t="s">
        <v>40</v>
      </c>
      <c r="I5" s="77" t="s">
        <v>41</v>
      </c>
      <c r="J5" s="77" t="s">
        <v>42</v>
      </c>
      <c r="K5" s="77" t="s">
        <v>43</v>
      </c>
      <c r="L5" s="77" t="s">
        <v>44</v>
      </c>
      <c r="M5" s="77" t="s">
        <v>45</v>
      </c>
      <c r="N5" s="77" t="s">
        <v>46</v>
      </c>
      <c r="O5" s="78" t="s">
        <v>47</v>
      </c>
      <c r="P5" s="79" t="s">
        <v>48</v>
      </c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</row>
    <row r="6" spans="1:67" ht="17.100000000000001" customHeight="1">
      <c r="B6" s="44" t="s">
        <v>36</v>
      </c>
      <c r="C6" s="43" t="s">
        <v>36</v>
      </c>
      <c r="D6" s="45" t="s">
        <v>36</v>
      </c>
      <c r="E6" s="45" t="s">
        <v>36</v>
      </c>
      <c r="F6" s="45" t="s">
        <v>36</v>
      </c>
      <c r="G6" s="45" t="s">
        <v>36</v>
      </c>
      <c r="H6" s="45" t="s">
        <v>36</v>
      </c>
      <c r="I6" s="45" t="s">
        <v>36</v>
      </c>
      <c r="J6" s="45" t="s">
        <v>36</v>
      </c>
      <c r="K6" s="45" t="s">
        <v>36</v>
      </c>
      <c r="L6" s="45" t="s">
        <v>36</v>
      </c>
      <c r="M6" s="45" t="s">
        <v>36</v>
      </c>
      <c r="N6" s="45" t="s">
        <v>36</v>
      </c>
      <c r="O6" s="45" t="s">
        <v>36</v>
      </c>
      <c r="P6" s="81" t="s">
        <v>36</v>
      </c>
    </row>
    <row r="7" spans="1:67" ht="14.1" customHeight="1">
      <c r="B7" s="46" t="s">
        <v>36</v>
      </c>
      <c r="C7" s="47" t="s">
        <v>36</v>
      </c>
      <c r="D7" s="48" t="s">
        <v>36</v>
      </c>
      <c r="E7" s="48" t="s">
        <v>36</v>
      </c>
      <c r="F7" s="48" t="s">
        <v>36</v>
      </c>
      <c r="G7" s="48" t="s">
        <v>36</v>
      </c>
      <c r="H7" s="48" t="s">
        <v>36</v>
      </c>
      <c r="I7" s="48" t="s">
        <v>36</v>
      </c>
      <c r="J7" s="48" t="s">
        <v>36</v>
      </c>
      <c r="K7" s="48" t="s">
        <v>36</v>
      </c>
      <c r="L7" s="48" t="s">
        <v>36</v>
      </c>
      <c r="M7" s="48" t="s">
        <v>36</v>
      </c>
      <c r="N7" s="48" t="s">
        <v>36</v>
      </c>
      <c r="O7" s="48" t="s">
        <v>36</v>
      </c>
      <c r="P7" s="82" t="s">
        <v>36</v>
      </c>
    </row>
    <row r="8" spans="1:67" ht="36.9" hidden="1" customHeight="1">
      <c r="B8" s="49" t="s">
        <v>49</v>
      </c>
      <c r="C8" s="47" t="s">
        <v>36</v>
      </c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83">
        <f>SUM(D8:O8)</f>
        <v>0</v>
      </c>
    </row>
    <row r="9" spans="1:67" ht="23.1" hidden="1" customHeight="1">
      <c r="B9" s="53" t="s">
        <v>50</v>
      </c>
      <c r="C9" s="47" t="s">
        <v>36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84"/>
    </row>
    <row r="10" spans="1:67" s="37" customFormat="1" ht="23.1" customHeight="1">
      <c r="B10" s="57" t="s">
        <v>51</v>
      </c>
      <c r="C10" s="47" t="s">
        <v>36</v>
      </c>
      <c r="D10" s="58">
        <v>4370</v>
      </c>
      <c r="E10" s="59">
        <v>5856</v>
      </c>
      <c r="F10" s="59">
        <v>17192</v>
      </c>
      <c r="G10" s="59">
        <v>15225</v>
      </c>
      <c r="H10" s="59">
        <v>8076</v>
      </c>
      <c r="I10" s="59">
        <v>4900</v>
      </c>
      <c r="J10" s="59">
        <v>4700</v>
      </c>
      <c r="K10" s="59">
        <v>5406</v>
      </c>
      <c r="L10" s="59">
        <v>6664</v>
      </c>
      <c r="M10" s="59">
        <v>4750</v>
      </c>
      <c r="N10" s="59">
        <v>5306</v>
      </c>
      <c r="O10" s="60">
        <v>4220</v>
      </c>
      <c r="P10" s="84">
        <f t="shared" ref="P10:P12" si="0">SUM(D10:O10)</f>
        <v>86665</v>
      </c>
    </row>
    <row r="11" spans="1:67" ht="23.1" customHeight="1">
      <c r="B11" s="61" t="s">
        <v>52</v>
      </c>
      <c r="C11" s="47" t="s">
        <v>36</v>
      </c>
      <c r="D11" s="54">
        <v>6371075.5899999999</v>
      </c>
      <c r="E11" s="55">
        <v>7747299.5499999998</v>
      </c>
      <c r="F11" s="55">
        <v>13216550.17</v>
      </c>
      <c r="G11" s="55">
        <v>11797867.73</v>
      </c>
      <c r="H11" s="55">
        <v>12964967.369999999</v>
      </c>
      <c r="I11" s="55">
        <v>11256527.51</v>
      </c>
      <c r="J11" s="55">
        <v>9990410.4299999997</v>
      </c>
      <c r="K11" s="55">
        <v>11684080.390000001</v>
      </c>
      <c r="L11" s="55">
        <v>17689810.510000002</v>
      </c>
      <c r="M11" s="55">
        <v>16479162.43</v>
      </c>
      <c r="N11" s="55">
        <v>11451596.33</v>
      </c>
      <c r="O11" s="56">
        <v>19087221.550000001</v>
      </c>
      <c r="P11" s="84">
        <f t="shared" si="0"/>
        <v>149736569.56</v>
      </c>
    </row>
    <row r="12" spans="1:67" ht="23.1" customHeight="1">
      <c r="B12" s="61" t="s">
        <v>53</v>
      </c>
      <c r="C12" s="47" t="s">
        <v>36</v>
      </c>
      <c r="D12" s="54">
        <v>2237.9899999999998</v>
      </c>
      <c r="E12" s="55">
        <v>2237.9899999999998</v>
      </c>
      <c r="F12" s="55">
        <v>2237.9899999999998</v>
      </c>
      <c r="G12" s="55">
        <v>2237.9899999999998</v>
      </c>
      <c r="H12" s="55">
        <v>2237.9899999999998</v>
      </c>
      <c r="I12" s="55">
        <v>2237.9899999999998</v>
      </c>
      <c r="J12" s="55">
        <v>2237.9899999999998</v>
      </c>
      <c r="K12" s="55">
        <v>2237.9899999999998</v>
      </c>
      <c r="L12" s="55">
        <v>2237.9899999999998</v>
      </c>
      <c r="M12" s="55">
        <v>2237.9899999999998</v>
      </c>
      <c r="N12" s="55">
        <v>2237.9899999999998</v>
      </c>
      <c r="O12" s="56">
        <v>2237.9899999999998</v>
      </c>
      <c r="P12" s="84">
        <f t="shared" si="0"/>
        <v>26855.87999999999</v>
      </c>
    </row>
    <row r="13" spans="1:67" ht="23.1" customHeight="1">
      <c r="B13" s="61" t="s">
        <v>54</v>
      </c>
      <c r="C13" s="47" t="s">
        <v>36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84"/>
    </row>
    <row r="14" spans="1:67" ht="14.1" customHeight="1">
      <c r="B14" s="46" t="s">
        <v>36</v>
      </c>
      <c r="C14" s="47" t="s">
        <v>36</v>
      </c>
      <c r="D14" s="48" t="s">
        <v>36</v>
      </c>
      <c r="E14" s="48" t="s">
        <v>36</v>
      </c>
      <c r="F14" s="48" t="s">
        <v>36</v>
      </c>
      <c r="G14" s="48" t="s">
        <v>36</v>
      </c>
      <c r="H14" s="48" t="s">
        <v>36</v>
      </c>
      <c r="I14" s="48" t="s">
        <v>36</v>
      </c>
      <c r="J14" s="48" t="s">
        <v>36</v>
      </c>
      <c r="K14" s="48" t="s">
        <v>36</v>
      </c>
      <c r="L14" s="48" t="s">
        <v>36</v>
      </c>
      <c r="M14" s="48" t="s">
        <v>36</v>
      </c>
      <c r="N14" s="48" t="s">
        <v>36</v>
      </c>
      <c r="O14" s="48" t="s">
        <v>36</v>
      </c>
      <c r="P14" s="82" t="s">
        <v>36</v>
      </c>
    </row>
    <row r="15" spans="1:67" s="80" customFormat="1" ht="23.1" customHeight="1" thickBot="1">
      <c r="A15" s="37"/>
      <c r="B15" s="85" t="s">
        <v>55</v>
      </c>
      <c r="C15" s="47" t="s">
        <v>36</v>
      </c>
      <c r="D15" s="86">
        <f>D10+D11+D12</f>
        <v>6377683.5800000001</v>
      </c>
      <c r="E15" s="86">
        <f t="shared" ref="E15:O15" si="1">E10+E11+E12</f>
        <v>7755393.54</v>
      </c>
      <c r="F15" s="86">
        <f t="shared" si="1"/>
        <v>13235980.16</v>
      </c>
      <c r="G15" s="86">
        <f t="shared" si="1"/>
        <v>11815330.720000001</v>
      </c>
      <c r="H15" s="86">
        <f t="shared" si="1"/>
        <v>12975281.359999999</v>
      </c>
      <c r="I15" s="86">
        <f t="shared" si="1"/>
        <v>11263665.5</v>
      </c>
      <c r="J15" s="86">
        <f t="shared" si="1"/>
        <v>9997348.4199999999</v>
      </c>
      <c r="K15" s="86">
        <f t="shared" si="1"/>
        <v>11691724.380000001</v>
      </c>
      <c r="L15" s="86">
        <f t="shared" si="1"/>
        <v>17698712.5</v>
      </c>
      <c r="M15" s="86">
        <f t="shared" si="1"/>
        <v>16486150.42</v>
      </c>
      <c r="N15" s="86">
        <f t="shared" si="1"/>
        <v>11459140.32</v>
      </c>
      <c r="O15" s="87">
        <f t="shared" si="1"/>
        <v>19093679.539999999</v>
      </c>
      <c r="P15" s="88">
        <f t="shared" ref="P15" si="2">SUM(D15:O15)</f>
        <v>149850090.44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</row>
    <row r="16" spans="1:67" ht="14.1" customHeight="1" thickTop="1">
      <c r="B16" s="46" t="s">
        <v>36</v>
      </c>
      <c r="C16" s="47" t="s">
        <v>36</v>
      </c>
      <c r="D16" s="48" t="s">
        <v>36</v>
      </c>
      <c r="E16" s="48" t="s">
        <v>36</v>
      </c>
      <c r="F16" s="48" t="s">
        <v>36</v>
      </c>
      <c r="G16" s="48" t="s">
        <v>36</v>
      </c>
      <c r="H16" s="48" t="s">
        <v>36</v>
      </c>
      <c r="I16" s="48" t="s">
        <v>36</v>
      </c>
      <c r="J16" s="48" t="s">
        <v>36</v>
      </c>
      <c r="K16" s="48" t="s">
        <v>36</v>
      </c>
      <c r="L16" s="48" t="s">
        <v>36</v>
      </c>
      <c r="M16" s="48" t="s">
        <v>36</v>
      </c>
      <c r="N16" s="48" t="s">
        <v>36</v>
      </c>
      <c r="O16" s="48" t="s">
        <v>36</v>
      </c>
      <c r="P16" s="82" t="s">
        <v>36</v>
      </c>
    </row>
    <row r="17" spans="1:67" s="80" customFormat="1" ht="23.1" customHeight="1" thickBot="1">
      <c r="A17" s="37"/>
      <c r="B17" s="85" t="s">
        <v>56</v>
      </c>
      <c r="C17" s="47" t="s">
        <v>36</v>
      </c>
      <c r="D17" s="86">
        <f>D18+D19+D20</f>
        <v>6482355.0199999996</v>
      </c>
      <c r="E17" s="86">
        <f>E18+E19+E20</f>
        <v>6666281.8200000003</v>
      </c>
      <c r="F17" s="86">
        <f t="shared" ref="F17:O17" si="3">F18+F19+F20</f>
        <v>12563358.370000001</v>
      </c>
      <c r="G17" s="86">
        <f t="shared" si="3"/>
        <v>10684090.870000001</v>
      </c>
      <c r="H17" s="86">
        <f t="shared" si="3"/>
        <v>12173089.42</v>
      </c>
      <c r="I17" s="86">
        <f t="shared" si="3"/>
        <v>11831188.41</v>
      </c>
      <c r="J17" s="86">
        <f t="shared" si="3"/>
        <v>10493948.51</v>
      </c>
      <c r="K17" s="86">
        <f t="shared" si="3"/>
        <v>11338689.02</v>
      </c>
      <c r="L17" s="86">
        <f t="shared" si="3"/>
        <v>10449460.060000001</v>
      </c>
      <c r="M17" s="86">
        <f t="shared" si="3"/>
        <v>11152635.68</v>
      </c>
      <c r="N17" s="86">
        <f t="shared" si="3"/>
        <v>10676655.98</v>
      </c>
      <c r="O17" s="87">
        <f t="shared" si="3"/>
        <v>12821371.32</v>
      </c>
      <c r="P17" s="88">
        <f t="shared" ref="P17:P20" si="4">SUM(D17:O17)</f>
        <v>127333124.48000002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</row>
    <row r="18" spans="1:67" ht="36" customHeight="1" thickTop="1">
      <c r="B18" s="61" t="s">
        <v>57</v>
      </c>
      <c r="C18" s="47" t="s">
        <v>36</v>
      </c>
      <c r="D18" s="54">
        <v>670537.38</v>
      </c>
      <c r="E18" s="55">
        <v>757529.87</v>
      </c>
      <c r="F18" s="55">
        <v>3269849.62</v>
      </c>
      <c r="G18" s="55">
        <v>1992370.79</v>
      </c>
      <c r="H18" s="55">
        <v>3004320.33</v>
      </c>
      <c r="I18" s="55">
        <v>2295502.52</v>
      </c>
      <c r="J18" s="55">
        <v>1758466.24</v>
      </c>
      <c r="K18" s="55">
        <v>2033158.84</v>
      </c>
      <c r="L18" s="55">
        <v>2502351.62</v>
      </c>
      <c r="M18" s="55">
        <v>3540411.33</v>
      </c>
      <c r="N18" s="55">
        <v>2761356.77</v>
      </c>
      <c r="O18" s="56">
        <v>4757839.95</v>
      </c>
      <c r="P18" s="84">
        <f t="shared" si="4"/>
        <v>29343695.259999998</v>
      </c>
    </row>
    <row r="19" spans="1:67" ht="36" customHeight="1">
      <c r="B19" s="61" t="s">
        <v>58</v>
      </c>
      <c r="C19" s="47" t="s">
        <v>36</v>
      </c>
      <c r="D19" s="54">
        <v>5807491.6399999997</v>
      </c>
      <c r="E19" s="55">
        <v>5902954.9500000002</v>
      </c>
      <c r="F19" s="55">
        <v>9276488.75</v>
      </c>
      <c r="G19" s="55">
        <v>8676647.0800000001</v>
      </c>
      <c r="H19" s="55">
        <v>9160774.0899999999</v>
      </c>
      <c r="I19" s="55">
        <v>9530834.8900000006</v>
      </c>
      <c r="J19" s="55">
        <v>8730829.2699999996</v>
      </c>
      <c r="K19" s="55">
        <v>9300178.1799999997</v>
      </c>
      <c r="L19" s="55">
        <v>7940511.4400000004</v>
      </c>
      <c r="M19" s="55">
        <v>7607521.3499999996</v>
      </c>
      <c r="N19" s="55">
        <v>7910046.21</v>
      </c>
      <c r="O19" s="56">
        <v>8059353.3700000001</v>
      </c>
      <c r="P19" s="84">
        <f t="shared" si="4"/>
        <v>97903631.219999999</v>
      </c>
    </row>
    <row r="20" spans="1:67" ht="36" customHeight="1">
      <c r="B20" s="61" t="s">
        <v>59</v>
      </c>
      <c r="C20" s="47" t="s">
        <v>36</v>
      </c>
      <c r="D20" s="54">
        <v>4326</v>
      </c>
      <c r="E20" s="55">
        <v>5797</v>
      </c>
      <c r="F20" s="55">
        <v>17020</v>
      </c>
      <c r="G20" s="55">
        <v>15073</v>
      </c>
      <c r="H20" s="55">
        <v>7995</v>
      </c>
      <c r="I20" s="55">
        <v>4851</v>
      </c>
      <c r="J20" s="55">
        <v>4653</v>
      </c>
      <c r="K20" s="55">
        <v>5352</v>
      </c>
      <c r="L20" s="55">
        <v>6597</v>
      </c>
      <c r="M20" s="55">
        <v>4703</v>
      </c>
      <c r="N20" s="55">
        <v>5253</v>
      </c>
      <c r="O20" s="56">
        <v>4178</v>
      </c>
      <c r="P20" s="84">
        <f t="shared" si="4"/>
        <v>85798</v>
      </c>
    </row>
    <row r="21" spans="1:67" ht="14.1" customHeight="1">
      <c r="B21" s="46" t="s">
        <v>36</v>
      </c>
      <c r="C21" s="47" t="s">
        <v>36</v>
      </c>
      <c r="D21" s="48" t="s">
        <v>36</v>
      </c>
      <c r="E21" s="48" t="s">
        <v>36</v>
      </c>
      <c r="F21" s="48" t="s">
        <v>36</v>
      </c>
      <c r="G21" s="48" t="s">
        <v>36</v>
      </c>
      <c r="H21" s="48" t="s">
        <v>36</v>
      </c>
      <c r="I21" s="48" t="s">
        <v>36</v>
      </c>
      <c r="J21" s="48" t="s">
        <v>36</v>
      </c>
      <c r="K21" s="48" t="s">
        <v>36</v>
      </c>
      <c r="L21" s="48" t="s">
        <v>36</v>
      </c>
      <c r="M21" s="48" t="s">
        <v>36</v>
      </c>
      <c r="N21" s="48" t="s">
        <v>36</v>
      </c>
      <c r="O21" s="48" t="s">
        <v>36</v>
      </c>
      <c r="P21" s="82" t="s">
        <v>36</v>
      </c>
    </row>
    <row r="22" spans="1:67" s="93" customFormat="1" ht="23.1" customHeight="1" thickBot="1">
      <c r="A22" s="62"/>
      <c r="B22" s="89" t="s">
        <v>60</v>
      </c>
      <c r="C22" s="63" t="s">
        <v>36</v>
      </c>
      <c r="D22" s="90">
        <f t="shared" ref="D22:O22" si="5">D15-D17</f>
        <v>-104671.43999999948</v>
      </c>
      <c r="E22" s="91">
        <f t="shared" si="5"/>
        <v>1089111.7199999997</v>
      </c>
      <c r="F22" s="91">
        <f t="shared" si="5"/>
        <v>672621.78999999911</v>
      </c>
      <c r="G22" s="91">
        <f t="shared" si="5"/>
        <v>1131239.8499999996</v>
      </c>
      <c r="H22" s="91">
        <f t="shared" si="5"/>
        <v>802191.93999999948</v>
      </c>
      <c r="I22" s="91">
        <f t="shared" si="5"/>
        <v>-567522.91000000015</v>
      </c>
      <c r="J22" s="91">
        <f t="shared" si="5"/>
        <v>-496600.08999999985</v>
      </c>
      <c r="K22" s="91">
        <f t="shared" si="5"/>
        <v>353035.36000000127</v>
      </c>
      <c r="L22" s="91">
        <f t="shared" si="5"/>
        <v>7249252.4399999995</v>
      </c>
      <c r="M22" s="91">
        <f t="shared" si="5"/>
        <v>5333514.74</v>
      </c>
      <c r="N22" s="91">
        <f t="shared" si="5"/>
        <v>782484.33999999985</v>
      </c>
      <c r="O22" s="92">
        <f t="shared" si="5"/>
        <v>6272308.2199999988</v>
      </c>
      <c r="P22" s="88">
        <f>P15-P17</f>
        <v>22516965.959999979</v>
      </c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</row>
    <row r="23" spans="1:67" ht="14.1" customHeight="1" thickTop="1">
      <c r="B23" s="46" t="s">
        <v>36</v>
      </c>
      <c r="C23" s="47" t="s">
        <v>36</v>
      </c>
      <c r="D23" s="48" t="s">
        <v>36</v>
      </c>
      <c r="E23" s="48" t="s">
        <v>36</v>
      </c>
      <c r="F23" s="48" t="s">
        <v>36</v>
      </c>
      <c r="G23" s="48" t="s">
        <v>36</v>
      </c>
      <c r="H23" s="48" t="s">
        <v>36</v>
      </c>
      <c r="I23" s="48" t="s">
        <v>36</v>
      </c>
      <c r="J23" s="48" t="s">
        <v>36</v>
      </c>
      <c r="K23" s="48" t="s">
        <v>36</v>
      </c>
      <c r="L23" s="48" t="s">
        <v>36</v>
      </c>
      <c r="M23" s="48" t="s">
        <v>36</v>
      </c>
      <c r="N23" s="48" t="s">
        <v>36</v>
      </c>
      <c r="O23" s="48" t="s">
        <v>36</v>
      </c>
      <c r="P23" s="82" t="s">
        <v>36</v>
      </c>
    </row>
    <row r="24" spans="1:67" ht="23.1" customHeight="1">
      <c r="B24" s="64" t="s">
        <v>61</v>
      </c>
      <c r="C24" s="47" t="s">
        <v>36</v>
      </c>
      <c r="D24" s="50">
        <v>3000</v>
      </c>
      <c r="E24" s="51">
        <v>3000</v>
      </c>
      <c r="F24" s="51">
        <v>48879</v>
      </c>
      <c r="G24" s="51">
        <v>3000</v>
      </c>
      <c r="H24" s="51">
        <v>3000</v>
      </c>
      <c r="I24" s="51">
        <v>48879</v>
      </c>
      <c r="J24" s="51">
        <v>3000</v>
      </c>
      <c r="K24" s="51">
        <v>3000</v>
      </c>
      <c r="L24" s="51">
        <v>48879</v>
      </c>
      <c r="M24" s="51">
        <v>3000</v>
      </c>
      <c r="N24" s="51">
        <v>3000</v>
      </c>
      <c r="O24" s="52">
        <v>48879</v>
      </c>
      <c r="P24" s="83">
        <f t="shared" ref="P24:P27" si="6">SUM(D24:O24)</f>
        <v>219516</v>
      </c>
    </row>
    <row r="25" spans="1:67" ht="23.1" customHeight="1">
      <c r="B25" s="61" t="s">
        <v>62</v>
      </c>
      <c r="C25" s="47" t="s">
        <v>36</v>
      </c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84">
        <f t="shared" si="6"/>
        <v>0</v>
      </c>
    </row>
    <row r="26" spans="1:67" ht="23.1" customHeight="1">
      <c r="B26" s="61" t="s">
        <v>63</v>
      </c>
      <c r="C26" s="47" t="s">
        <v>36</v>
      </c>
      <c r="D26" s="54">
        <v>1438500.87</v>
      </c>
      <c r="E26" s="55">
        <v>1438500.87</v>
      </c>
      <c r="F26" s="55">
        <v>1438500.87</v>
      </c>
      <c r="G26" s="55">
        <v>1438500.87</v>
      </c>
      <c r="H26" s="55">
        <v>1438500.87</v>
      </c>
      <c r="I26" s="55">
        <v>1438500.87</v>
      </c>
      <c r="J26" s="55">
        <v>1438500.87</v>
      </c>
      <c r="K26" s="55">
        <v>1438500.87</v>
      </c>
      <c r="L26" s="55">
        <v>1438500.87</v>
      </c>
      <c r="M26" s="55">
        <v>1438500.87</v>
      </c>
      <c r="N26" s="55">
        <v>1438500.87</v>
      </c>
      <c r="O26" s="56">
        <v>1438500.99</v>
      </c>
      <c r="P26" s="84">
        <f t="shared" si="6"/>
        <v>17262010.560000002</v>
      </c>
    </row>
    <row r="27" spans="1:67" ht="23.1" customHeight="1">
      <c r="B27" s="61" t="s">
        <v>64</v>
      </c>
      <c r="C27" s="47" t="s">
        <v>36</v>
      </c>
      <c r="D27" s="54">
        <v>2610</v>
      </c>
      <c r="E27" s="55">
        <v>110</v>
      </c>
      <c r="F27" s="55">
        <v>2110</v>
      </c>
      <c r="G27" s="55">
        <v>3610</v>
      </c>
      <c r="H27" s="55">
        <v>1110</v>
      </c>
      <c r="I27" s="55">
        <v>2610</v>
      </c>
      <c r="J27" s="55">
        <v>2610</v>
      </c>
      <c r="K27" s="55">
        <v>3110</v>
      </c>
      <c r="L27" s="55">
        <v>1110</v>
      </c>
      <c r="M27" s="55">
        <v>2610</v>
      </c>
      <c r="N27" s="55">
        <v>2610</v>
      </c>
      <c r="O27" s="56">
        <v>3110</v>
      </c>
      <c r="P27" s="84">
        <f t="shared" si="6"/>
        <v>27320</v>
      </c>
    </row>
    <row r="28" spans="1:67" ht="14.1" customHeight="1">
      <c r="B28" s="46" t="s">
        <v>36</v>
      </c>
      <c r="C28" s="47" t="s">
        <v>36</v>
      </c>
      <c r="D28" s="48" t="s">
        <v>36</v>
      </c>
      <c r="E28" s="48" t="s">
        <v>36</v>
      </c>
      <c r="F28" s="48" t="s">
        <v>36</v>
      </c>
      <c r="G28" s="48" t="s">
        <v>36</v>
      </c>
      <c r="H28" s="48" t="s">
        <v>36</v>
      </c>
      <c r="I28" s="48" t="s">
        <v>36</v>
      </c>
      <c r="J28" s="48" t="s">
        <v>36</v>
      </c>
      <c r="K28" s="48" t="s">
        <v>36</v>
      </c>
      <c r="L28" s="48" t="s">
        <v>36</v>
      </c>
      <c r="M28" s="48" t="s">
        <v>36</v>
      </c>
      <c r="N28" s="48" t="s">
        <v>36</v>
      </c>
      <c r="O28" s="48" t="s">
        <v>36</v>
      </c>
      <c r="P28" s="82" t="s">
        <v>36</v>
      </c>
    </row>
    <row r="29" spans="1:67" s="93" customFormat="1" ht="23.1" customHeight="1" thickBot="1">
      <c r="A29" s="62"/>
      <c r="B29" s="89" t="s">
        <v>65</v>
      </c>
      <c r="C29" s="63" t="s">
        <v>36</v>
      </c>
      <c r="D29" s="90">
        <f t="shared" ref="D29:O29" si="7">D22+D24-D26-D27</f>
        <v>-1542782.3099999996</v>
      </c>
      <c r="E29" s="91">
        <f t="shared" si="7"/>
        <v>-346499.15000000037</v>
      </c>
      <c r="F29" s="91">
        <f t="shared" si="7"/>
        <v>-719110.08000000101</v>
      </c>
      <c r="G29" s="91">
        <f t="shared" si="7"/>
        <v>-307871.02000000048</v>
      </c>
      <c r="H29" s="91">
        <f t="shared" si="7"/>
        <v>-634418.93000000063</v>
      </c>
      <c r="I29" s="91">
        <f t="shared" si="7"/>
        <v>-1959754.7800000003</v>
      </c>
      <c r="J29" s="91">
        <f t="shared" si="7"/>
        <v>-1934710.96</v>
      </c>
      <c r="K29" s="91">
        <f t="shared" si="7"/>
        <v>-1085575.5099999988</v>
      </c>
      <c r="L29" s="91">
        <f t="shared" si="7"/>
        <v>5858520.5699999994</v>
      </c>
      <c r="M29" s="91">
        <f t="shared" si="7"/>
        <v>3895403.87</v>
      </c>
      <c r="N29" s="91">
        <f t="shared" si="7"/>
        <v>-655626.53000000026</v>
      </c>
      <c r="O29" s="92">
        <f t="shared" si="7"/>
        <v>4879576.2299999986</v>
      </c>
      <c r="P29" s="88">
        <f>P22+P24-P26-P27</f>
        <v>5447151.3999999762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</row>
    <row r="30" spans="1:67" ht="14.1" customHeight="1" thickTop="1">
      <c r="B30" s="46" t="s">
        <v>36</v>
      </c>
      <c r="C30" s="47" t="s">
        <v>36</v>
      </c>
      <c r="D30" s="48" t="s">
        <v>36</v>
      </c>
      <c r="E30" s="48" t="s">
        <v>36</v>
      </c>
      <c r="F30" s="48" t="s">
        <v>36</v>
      </c>
      <c r="G30" s="48" t="s">
        <v>36</v>
      </c>
      <c r="H30" s="48" t="s">
        <v>36</v>
      </c>
      <c r="I30" s="48" t="s">
        <v>36</v>
      </c>
      <c r="J30" s="48" t="s">
        <v>36</v>
      </c>
      <c r="K30" s="48" t="s">
        <v>36</v>
      </c>
      <c r="L30" s="48" t="s">
        <v>36</v>
      </c>
      <c r="M30" s="48" t="s">
        <v>36</v>
      </c>
      <c r="N30" s="48" t="s">
        <v>36</v>
      </c>
      <c r="O30" s="48" t="s">
        <v>36</v>
      </c>
      <c r="P30" s="82" t="s">
        <v>36</v>
      </c>
    </row>
    <row r="31" spans="1:67" ht="23.1" customHeight="1">
      <c r="B31" s="64" t="s">
        <v>66</v>
      </c>
      <c r="C31" s="47" t="s">
        <v>36</v>
      </c>
      <c r="D31" s="50"/>
      <c r="E31" s="51"/>
      <c r="F31" s="51"/>
      <c r="G31" s="51"/>
      <c r="H31" s="51"/>
      <c r="I31" s="51"/>
      <c r="J31" s="51"/>
      <c r="K31" s="51"/>
      <c r="L31" s="51"/>
      <c r="M31" s="51">
        <v>9698.3700000000008</v>
      </c>
      <c r="N31" s="51">
        <v>24908.12</v>
      </c>
      <c r="O31" s="52">
        <v>26247.08</v>
      </c>
      <c r="P31" s="83">
        <f t="shared" ref="P31:P32" si="8">SUM(D31:O31)</f>
        <v>60853.57</v>
      </c>
    </row>
    <row r="32" spans="1:67" ht="23.1" customHeight="1">
      <c r="B32" s="61" t="s">
        <v>67</v>
      </c>
      <c r="C32" s="47" t="s">
        <v>36</v>
      </c>
      <c r="D32" s="54">
        <v>35227.01</v>
      </c>
      <c r="E32" s="55">
        <v>49636.42</v>
      </c>
      <c r="F32" s="55">
        <v>281999.5</v>
      </c>
      <c r="G32" s="55">
        <v>40482.54</v>
      </c>
      <c r="H32" s="55">
        <v>46835.73</v>
      </c>
      <c r="I32" s="55">
        <v>263031.8</v>
      </c>
      <c r="J32" s="55">
        <v>40261.26</v>
      </c>
      <c r="K32" s="55">
        <v>34295.4</v>
      </c>
      <c r="L32" s="55">
        <v>272010.13</v>
      </c>
      <c r="M32" s="55">
        <v>26499.279999999999</v>
      </c>
      <c r="N32" s="55">
        <v>25558.34</v>
      </c>
      <c r="O32" s="56">
        <v>251317.3</v>
      </c>
      <c r="P32" s="84">
        <f t="shared" si="8"/>
        <v>1367154.7100000002</v>
      </c>
    </row>
    <row r="33" spans="1:67" ht="23.1" customHeight="1">
      <c r="B33" s="61" t="s">
        <v>68</v>
      </c>
      <c r="C33" s="47" t="s">
        <v>36</v>
      </c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84"/>
    </row>
    <row r="34" spans="1:67" ht="14.1" customHeight="1">
      <c r="B34" s="46" t="s">
        <v>36</v>
      </c>
      <c r="C34" s="47" t="s">
        <v>36</v>
      </c>
      <c r="D34" s="48" t="s">
        <v>36</v>
      </c>
      <c r="E34" s="48" t="s">
        <v>36</v>
      </c>
      <c r="F34" s="48" t="s">
        <v>36</v>
      </c>
      <c r="G34" s="48" t="s">
        <v>36</v>
      </c>
      <c r="H34" s="48" t="s">
        <v>36</v>
      </c>
      <c r="I34" s="48" t="s">
        <v>36</v>
      </c>
      <c r="J34" s="48" t="s">
        <v>36</v>
      </c>
      <c r="K34" s="48" t="s">
        <v>36</v>
      </c>
      <c r="L34" s="48" t="s">
        <v>36</v>
      </c>
      <c r="M34" s="48" t="s">
        <v>36</v>
      </c>
      <c r="N34" s="48" t="s">
        <v>36</v>
      </c>
      <c r="O34" s="48" t="s">
        <v>36</v>
      </c>
      <c r="P34" s="82" t="s">
        <v>36</v>
      </c>
    </row>
    <row r="35" spans="1:67" s="93" customFormat="1" ht="23.1" customHeight="1" thickBot="1">
      <c r="A35" s="62"/>
      <c r="B35" s="89" t="s">
        <v>69</v>
      </c>
      <c r="C35" s="63" t="s">
        <v>36</v>
      </c>
      <c r="D35" s="90">
        <f>D29+D31-D32</f>
        <v>-1578009.3199999996</v>
      </c>
      <c r="E35" s="90">
        <f t="shared" ref="E35:P35" si="9">E29+E31-E32</f>
        <v>-396135.57000000036</v>
      </c>
      <c r="F35" s="90">
        <f t="shared" si="9"/>
        <v>-1001109.580000001</v>
      </c>
      <c r="G35" s="90">
        <f t="shared" si="9"/>
        <v>-348353.56000000046</v>
      </c>
      <c r="H35" s="90">
        <f t="shared" si="9"/>
        <v>-681254.66000000061</v>
      </c>
      <c r="I35" s="90">
        <f t="shared" si="9"/>
        <v>-2222786.58</v>
      </c>
      <c r="J35" s="90">
        <f t="shared" si="9"/>
        <v>-1974972.22</v>
      </c>
      <c r="K35" s="90">
        <f t="shared" si="9"/>
        <v>-1119870.9099999988</v>
      </c>
      <c r="L35" s="90">
        <f t="shared" si="9"/>
        <v>5586510.4399999995</v>
      </c>
      <c r="M35" s="90">
        <f t="shared" si="9"/>
        <v>3878602.9600000004</v>
      </c>
      <c r="N35" s="90">
        <f t="shared" si="9"/>
        <v>-656276.75000000023</v>
      </c>
      <c r="O35" s="94">
        <f t="shared" si="9"/>
        <v>4654506.0099999988</v>
      </c>
      <c r="P35" s="88">
        <f t="shared" si="9"/>
        <v>4140850.2599999765</v>
      </c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</row>
    <row r="36" spans="1:67" ht="14.1" customHeight="1" thickTop="1">
      <c r="B36" s="46" t="s">
        <v>36</v>
      </c>
      <c r="C36" s="47" t="s">
        <v>36</v>
      </c>
      <c r="D36" s="48" t="s">
        <v>36</v>
      </c>
      <c r="E36" s="48" t="s">
        <v>36</v>
      </c>
      <c r="F36" s="48" t="s">
        <v>36</v>
      </c>
      <c r="G36" s="48" t="s">
        <v>36</v>
      </c>
      <c r="H36" s="48" t="s">
        <v>36</v>
      </c>
      <c r="I36" s="48" t="s">
        <v>36</v>
      </c>
      <c r="J36" s="48" t="s">
        <v>36</v>
      </c>
      <c r="K36" s="48" t="s">
        <v>36</v>
      </c>
      <c r="L36" s="48" t="s">
        <v>36</v>
      </c>
      <c r="M36" s="48" t="s">
        <v>36</v>
      </c>
      <c r="N36" s="48" t="s">
        <v>36</v>
      </c>
      <c r="O36" s="48" t="s">
        <v>36</v>
      </c>
      <c r="P36" s="82" t="s">
        <v>36</v>
      </c>
    </row>
    <row r="37" spans="1:67" ht="23.1" customHeight="1">
      <c r="B37" s="64" t="s">
        <v>70</v>
      </c>
      <c r="C37" s="47" t="s">
        <v>36</v>
      </c>
      <c r="D37" s="50">
        <v>121980.61</v>
      </c>
      <c r="E37" s="51">
        <v>-61163.28</v>
      </c>
      <c r="F37" s="51">
        <v>-161764.29</v>
      </c>
      <c r="G37" s="51">
        <v>-49232.86</v>
      </c>
      <c r="H37" s="51">
        <v>-113662.27</v>
      </c>
      <c r="I37" s="51">
        <v>-403078.84</v>
      </c>
      <c r="J37" s="51">
        <v>-355825.68</v>
      </c>
      <c r="K37" s="51">
        <v>-194886.48</v>
      </c>
      <c r="L37" s="51">
        <v>1076476.2</v>
      </c>
      <c r="M37" s="51">
        <v>762366.71</v>
      </c>
      <c r="N37" s="51">
        <v>-104942.14</v>
      </c>
      <c r="O37" s="52">
        <v>902078.89</v>
      </c>
      <c r="P37" s="83">
        <f t="shared" ref="P37" si="10">SUM(D37:O37)</f>
        <v>1418346.5699999998</v>
      </c>
    </row>
    <row r="38" spans="1:67" ht="9" customHeight="1">
      <c r="B38" s="46" t="s">
        <v>36</v>
      </c>
      <c r="C38" s="47" t="s">
        <v>36</v>
      </c>
      <c r="D38" s="48" t="s">
        <v>36</v>
      </c>
      <c r="E38" s="48" t="s">
        <v>36</v>
      </c>
      <c r="F38" s="48" t="s">
        <v>36</v>
      </c>
      <c r="G38" s="48" t="s">
        <v>36</v>
      </c>
      <c r="H38" s="48" t="s">
        <v>36</v>
      </c>
      <c r="I38" s="48" t="s">
        <v>36</v>
      </c>
      <c r="J38" s="48" t="s">
        <v>36</v>
      </c>
      <c r="K38" s="48" t="s">
        <v>36</v>
      </c>
      <c r="L38" s="48" t="s">
        <v>36</v>
      </c>
      <c r="M38" s="48" t="s">
        <v>36</v>
      </c>
      <c r="N38" s="48" t="s">
        <v>36</v>
      </c>
      <c r="O38" s="48" t="s">
        <v>36</v>
      </c>
      <c r="P38" s="82" t="s">
        <v>36</v>
      </c>
    </row>
    <row r="39" spans="1:67" s="98" customFormat="1" ht="39.75" customHeight="1" thickBot="1">
      <c r="A39" s="68"/>
      <c r="B39" s="95" t="s">
        <v>71</v>
      </c>
      <c r="C39" s="69" t="s">
        <v>36</v>
      </c>
      <c r="D39" s="96">
        <f>D35-D37</f>
        <v>-1699989.9299999997</v>
      </c>
      <c r="E39" s="96">
        <f t="shared" ref="E39:P39" si="11">E35-E37</f>
        <v>-334972.29000000039</v>
      </c>
      <c r="F39" s="96">
        <f t="shared" si="11"/>
        <v>-839345.29000000097</v>
      </c>
      <c r="G39" s="96">
        <f t="shared" si="11"/>
        <v>-299120.70000000048</v>
      </c>
      <c r="H39" s="96">
        <f t="shared" si="11"/>
        <v>-567592.3900000006</v>
      </c>
      <c r="I39" s="96">
        <f t="shared" si="11"/>
        <v>-1819707.74</v>
      </c>
      <c r="J39" s="96">
        <f t="shared" si="11"/>
        <v>-1619146.54</v>
      </c>
      <c r="K39" s="96">
        <f t="shared" si="11"/>
        <v>-924984.42999999877</v>
      </c>
      <c r="L39" s="96">
        <f t="shared" si="11"/>
        <v>4510034.2399999993</v>
      </c>
      <c r="M39" s="96">
        <f t="shared" si="11"/>
        <v>3116236.2500000005</v>
      </c>
      <c r="N39" s="96">
        <f t="shared" si="11"/>
        <v>-551334.61000000022</v>
      </c>
      <c r="O39" s="97">
        <f t="shared" si="11"/>
        <v>3752427.1199999987</v>
      </c>
      <c r="P39" s="88">
        <f t="shared" si="11"/>
        <v>2722503.6899999767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</row>
    <row r="40" spans="1:67" ht="9.9" customHeight="1" thickTop="1">
      <c r="B40" s="46" t="s">
        <v>36</v>
      </c>
      <c r="C40" s="47" t="s">
        <v>36</v>
      </c>
      <c r="D40" s="48" t="s">
        <v>36</v>
      </c>
      <c r="E40" s="48" t="s">
        <v>36</v>
      </c>
      <c r="F40" s="48" t="s">
        <v>36</v>
      </c>
      <c r="G40" s="48" t="s">
        <v>36</v>
      </c>
      <c r="H40" s="48" t="s">
        <v>36</v>
      </c>
      <c r="I40" s="48" t="s">
        <v>36</v>
      </c>
      <c r="J40" s="48" t="s">
        <v>36</v>
      </c>
      <c r="K40" s="48" t="s">
        <v>36</v>
      </c>
      <c r="L40" s="48" t="s">
        <v>36</v>
      </c>
      <c r="M40" s="48" t="s">
        <v>36</v>
      </c>
      <c r="N40" s="48" t="s">
        <v>36</v>
      </c>
      <c r="O40" s="48" t="s">
        <v>36</v>
      </c>
      <c r="P40" s="82" t="s">
        <v>36</v>
      </c>
    </row>
    <row r="41" spans="1:67" ht="15.9" hidden="1" customHeight="1">
      <c r="B41" s="66" t="s">
        <v>72</v>
      </c>
      <c r="C41" s="47" t="s">
        <v>36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99"/>
    </row>
    <row r="42" spans="1:67" ht="6.9" hidden="1" customHeight="1">
      <c r="B42" s="46" t="s">
        <v>36</v>
      </c>
      <c r="C42" s="47" t="s">
        <v>36</v>
      </c>
      <c r="D42" s="48" t="s">
        <v>36</v>
      </c>
      <c r="E42" s="48" t="s">
        <v>36</v>
      </c>
      <c r="F42" s="48" t="s">
        <v>36</v>
      </c>
      <c r="G42" s="48" t="s">
        <v>36</v>
      </c>
      <c r="H42" s="48" t="s">
        <v>36</v>
      </c>
      <c r="I42" s="48" t="s">
        <v>36</v>
      </c>
      <c r="J42" s="48" t="s">
        <v>36</v>
      </c>
      <c r="K42" s="48" t="s">
        <v>36</v>
      </c>
      <c r="L42" s="48" t="s">
        <v>36</v>
      </c>
      <c r="M42" s="48" t="s">
        <v>36</v>
      </c>
      <c r="N42" s="48" t="s">
        <v>36</v>
      </c>
      <c r="O42" s="48" t="s">
        <v>36</v>
      </c>
      <c r="P42" s="82" t="s">
        <v>36</v>
      </c>
    </row>
    <row r="43" spans="1:67" ht="36.9" hidden="1" customHeight="1">
      <c r="B43" s="64" t="s">
        <v>73</v>
      </c>
      <c r="C43" s="47" t="s">
        <v>36</v>
      </c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/>
      <c r="P43" s="83"/>
    </row>
    <row r="44" spans="1:67" ht="9" customHeight="1">
      <c r="B44" s="46" t="s">
        <v>36</v>
      </c>
      <c r="C44" s="47" t="s">
        <v>36</v>
      </c>
      <c r="D44" s="48" t="s">
        <v>36</v>
      </c>
      <c r="E44" s="48" t="s">
        <v>36</v>
      </c>
      <c r="F44" s="48" t="s">
        <v>36</v>
      </c>
      <c r="G44" s="48" t="s">
        <v>36</v>
      </c>
      <c r="H44" s="48" t="s">
        <v>36</v>
      </c>
      <c r="I44" s="48" t="s">
        <v>36</v>
      </c>
      <c r="J44" s="48" t="s">
        <v>36</v>
      </c>
      <c r="K44" s="48" t="s">
        <v>36</v>
      </c>
      <c r="L44" s="48" t="s">
        <v>36</v>
      </c>
      <c r="M44" s="48" t="s">
        <v>36</v>
      </c>
      <c r="N44" s="48" t="s">
        <v>36</v>
      </c>
      <c r="O44" s="48" t="s">
        <v>36</v>
      </c>
      <c r="P44" s="82" t="s">
        <v>36</v>
      </c>
    </row>
    <row r="45" spans="1:67" s="80" customFormat="1" ht="21.9" customHeight="1" thickBot="1">
      <c r="A45" s="37"/>
      <c r="B45" s="85" t="s">
        <v>74</v>
      </c>
      <c r="C45" s="47" t="s">
        <v>36</v>
      </c>
      <c r="D45" s="86">
        <f>D39</f>
        <v>-1699989.9299999997</v>
      </c>
      <c r="E45" s="86">
        <f t="shared" ref="E45:P45" si="12">E39</f>
        <v>-334972.29000000039</v>
      </c>
      <c r="F45" s="86">
        <f t="shared" si="12"/>
        <v>-839345.29000000097</v>
      </c>
      <c r="G45" s="86">
        <f t="shared" si="12"/>
        <v>-299120.70000000048</v>
      </c>
      <c r="H45" s="86">
        <f t="shared" si="12"/>
        <v>-567592.3900000006</v>
      </c>
      <c r="I45" s="86">
        <f t="shared" si="12"/>
        <v>-1819707.74</v>
      </c>
      <c r="J45" s="86">
        <f t="shared" si="12"/>
        <v>-1619146.54</v>
      </c>
      <c r="K45" s="86">
        <f t="shared" si="12"/>
        <v>-924984.42999999877</v>
      </c>
      <c r="L45" s="86">
        <f t="shared" si="12"/>
        <v>4510034.2399999993</v>
      </c>
      <c r="M45" s="86">
        <f t="shared" si="12"/>
        <v>3116236.2500000005</v>
      </c>
      <c r="N45" s="86">
        <f t="shared" si="12"/>
        <v>-551334.61000000022</v>
      </c>
      <c r="O45" s="87">
        <f t="shared" si="12"/>
        <v>3752427.1199999987</v>
      </c>
      <c r="P45" s="88">
        <f t="shared" si="12"/>
        <v>2722503.6899999767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</row>
    <row r="46" spans="1:67" ht="5.0999999999999996" customHeight="1" thickTop="1">
      <c r="B46" s="46" t="s">
        <v>36</v>
      </c>
      <c r="C46" s="47" t="s">
        <v>36</v>
      </c>
      <c r="D46" s="48" t="s">
        <v>36</v>
      </c>
      <c r="E46" s="48" t="s">
        <v>36</v>
      </c>
      <c r="F46" s="48" t="s">
        <v>36</v>
      </c>
      <c r="G46" s="48" t="s">
        <v>36</v>
      </c>
      <c r="H46" s="48" t="s">
        <v>36</v>
      </c>
      <c r="I46" s="48" t="s">
        <v>36</v>
      </c>
      <c r="J46" s="48" t="s">
        <v>36</v>
      </c>
      <c r="K46" s="48" t="s">
        <v>36</v>
      </c>
      <c r="L46" s="48" t="s">
        <v>36</v>
      </c>
      <c r="M46" s="48" t="s">
        <v>36</v>
      </c>
      <c r="N46" s="48" t="s">
        <v>36</v>
      </c>
      <c r="O46" s="48" t="s">
        <v>36</v>
      </c>
      <c r="P46" s="82" t="s">
        <v>36</v>
      </c>
    </row>
    <row r="47" spans="1:67" ht="18.899999999999999" hidden="1" customHeight="1">
      <c r="B47" s="66" t="s">
        <v>75</v>
      </c>
      <c r="C47" s="47" t="s">
        <v>36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99"/>
    </row>
    <row r="48" spans="1:67" ht="36.9" hidden="1" customHeight="1">
      <c r="B48" s="64" t="s">
        <v>76</v>
      </c>
      <c r="C48" s="47" t="s">
        <v>36</v>
      </c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2"/>
      <c r="P48" s="83"/>
    </row>
    <row r="49" spans="1:67" ht="36.9" hidden="1" customHeight="1">
      <c r="B49" s="61" t="s">
        <v>77</v>
      </c>
      <c r="C49" s="47" t="s">
        <v>36</v>
      </c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/>
      <c r="P49" s="84"/>
    </row>
    <row r="50" spans="1:67" ht="12" hidden="1" customHeight="1">
      <c r="B50" s="46" t="s">
        <v>36</v>
      </c>
      <c r="C50" s="47" t="s">
        <v>36</v>
      </c>
      <c r="D50" s="48" t="s">
        <v>36</v>
      </c>
      <c r="E50" s="48" t="s">
        <v>36</v>
      </c>
      <c r="F50" s="48" t="s">
        <v>36</v>
      </c>
      <c r="G50" s="48" t="s">
        <v>36</v>
      </c>
      <c r="H50" s="48" t="s">
        <v>36</v>
      </c>
      <c r="I50" s="48" t="s">
        <v>36</v>
      </c>
      <c r="J50" s="48" t="s">
        <v>36</v>
      </c>
      <c r="K50" s="48" t="s">
        <v>36</v>
      </c>
      <c r="L50" s="48" t="s">
        <v>36</v>
      </c>
      <c r="M50" s="48" t="s">
        <v>36</v>
      </c>
      <c r="N50" s="48" t="s">
        <v>36</v>
      </c>
      <c r="O50" s="48" t="s">
        <v>36</v>
      </c>
      <c r="P50" s="82" t="s">
        <v>36</v>
      </c>
    </row>
    <row r="51" spans="1:67" ht="12.9" hidden="1" customHeight="1">
      <c r="B51" s="70" t="s">
        <v>36</v>
      </c>
      <c r="C51" s="47" t="s">
        <v>36</v>
      </c>
      <c r="D51" s="71" t="s">
        <v>36</v>
      </c>
      <c r="E51" s="71" t="s">
        <v>36</v>
      </c>
      <c r="F51" s="71" t="s">
        <v>36</v>
      </c>
      <c r="G51" s="71" t="s">
        <v>36</v>
      </c>
      <c r="H51" s="71" t="s">
        <v>36</v>
      </c>
      <c r="I51" s="71" t="s">
        <v>36</v>
      </c>
      <c r="J51" s="71" t="s">
        <v>36</v>
      </c>
      <c r="K51" s="71" t="s">
        <v>36</v>
      </c>
      <c r="L51" s="71" t="s">
        <v>36</v>
      </c>
      <c r="M51" s="71" t="s">
        <v>36</v>
      </c>
      <c r="N51" s="71" t="s">
        <v>36</v>
      </c>
      <c r="O51" s="71" t="s">
        <v>36</v>
      </c>
      <c r="P51" s="82" t="s">
        <v>36</v>
      </c>
    </row>
    <row r="52" spans="1:67" ht="32.1" customHeight="1">
      <c r="B52" s="64" t="s">
        <v>78</v>
      </c>
      <c r="C52" s="47" t="s">
        <v>36</v>
      </c>
      <c r="D52" s="50">
        <v>185555.6</v>
      </c>
      <c r="E52" s="51">
        <v>187048.35</v>
      </c>
      <c r="F52" s="51">
        <v>190047.68</v>
      </c>
      <c r="G52" s="51">
        <v>248893.69</v>
      </c>
      <c r="H52" s="51">
        <v>254191.11</v>
      </c>
      <c r="I52" s="51">
        <v>451893.93</v>
      </c>
      <c r="J52" s="51">
        <v>240488.41</v>
      </c>
      <c r="K52" s="51">
        <v>245582.42</v>
      </c>
      <c r="L52" s="51">
        <v>349239.5</v>
      </c>
      <c r="M52" s="51">
        <v>193928.19</v>
      </c>
      <c r="N52" s="51">
        <v>195962.64</v>
      </c>
      <c r="O52" s="65">
        <v>232096.87</v>
      </c>
      <c r="P52" s="83">
        <f t="shared" ref="P52" si="13">SUM(D52:O52)</f>
        <v>2974928.39</v>
      </c>
    </row>
    <row r="53" spans="1:67" ht="32.1" customHeight="1">
      <c r="B53" s="61" t="s">
        <v>79</v>
      </c>
      <c r="C53" s="47" t="s">
        <v>36</v>
      </c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72"/>
      <c r="P53" s="84"/>
    </row>
    <row r="54" spans="1:67" ht="32.1" customHeight="1">
      <c r="B54" s="61" t="s">
        <v>80</v>
      </c>
      <c r="C54" s="47" t="s">
        <v>36</v>
      </c>
      <c r="D54" s="54">
        <v>35741.360000000001</v>
      </c>
      <c r="E54" s="55">
        <v>33155.760000000002</v>
      </c>
      <c r="F54" s="55">
        <v>35741.370000000003</v>
      </c>
      <c r="G54" s="55">
        <v>34879.51</v>
      </c>
      <c r="H54" s="55">
        <v>35741.379999999997</v>
      </c>
      <c r="I54" s="55">
        <v>34879.480000000003</v>
      </c>
      <c r="J54" s="55">
        <v>35741.35</v>
      </c>
      <c r="K54" s="55">
        <v>35741.360000000001</v>
      </c>
      <c r="L54" s="55">
        <v>34879.51</v>
      </c>
      <c r="M54" s="55">
        <v>35741.360000000001</v>
      </c>
      <c r="N54" s="55">
        <v>34879.51</v>
      </c>
      <c r="O54" s="72">
        <v>35741.360000000001</v>
      </c>
      <c r="P54" s="84">
        <f t="shared" ref="P54" si="14">SUM(D54:O54)</f>
        <v>422863.31</v>
      </c>
    </row>
    <row r="55" spans="1:67" ht="12.9" customHeight="1">
      <c r="B55" s="70" t="s">
        <v>36</v>
      </c>
      <c r="C55" s="47" t="s">
        <v>36</v>
      </c>
      <c r="D55" s="71" t="s">
        <v>36</v>
      </c>
      <c r="E55" s="71" t="s">
        <v>36</v>
      </c>
      <c r="F55" s="71" t="s">
        <v>36</v>
      </c>
      <c r="G55" s="71" t="s">
        <v>36</v>
      </c>
      <c r="H55" s="71" t="s">
        <v>36</v>
      </c>
      <c r="I55" s="71" t="s">
        <v>36</v>
      </c>
      <c r="J55" s="71" t="s">
        <v>36</v>
      </c>
      <c r="K55" s="71" t="s">
        <v>36</v>
      </c>
      <c r="L55" s="71" t="s">
        <v>36</v>
      </c>
      <c r="M55" s="71" t="s">
        <v>36</v>
      </c>
      <c r="N55" s="71" t="s">
        <v>36</v>
      </c>
      <c r="O55" s="71" t="s">
        <v>36</v>
      </c>
      <c r="P55" s="100" t="s">
        <v>36</v>
      </c>
    </row>
    <row r="56" spans="1:67" s="80" customFormat="1" ht="23.1" customHeight="1" thickBot="1">
      <c r="A56" s="37"/>
      <c r="B56" s="85" t="s">
        <v>81</v>
      </c>
      <c r="C56" s="47" t="s">
        <v>36</v>
      </c>
      <c r="D56" s="86">
        <f>D29+D52+D54</f>
        <v>-1321485.3499999994</v>
      </c>
      <c r="E56" s="86">
        <f t="shared" ref="E56:P56" si="15">E29+E52+E54</f>
        <v>-126295.04000000036</v>
      </c>
      <c r="F56" s="86">
        <f t="shared" si="15"/>
        <v>-493321.03000000108</v>
      </c>
      <c r="G56" s="86">
        <f t="shared" si="15"/>
        <v>-24097.82000000048</v>
      </c>
      <c r="H56" s="86">
        <f t="shared" si="15"/>
        <v>-344486.44000000064</v>
      </c>
      <c r="I56" s="86">
        <f t="shared" si="15"/>
        <v>-1472981.3700000003</v>
      </c>
      <c r="J56" s="86">
        <f t="shared" si="15"/>
        <v>-1658481.2</v>
      </c>
      <c r="K56" s="86">
        <f t="shared" si="15"/>
        <v>-804251.72999999882</v>
      </c>
      <c r="L56" s="86">
        <f t="shared" si="15"/>
        <v>6242639.5799999991</v>
      </c>
      <c r="M56" s="86">
        <f t="shared" si="15"/>
        <v>4125073.42</v>
      </c>
      <c r="N56" s="86">
        <f t="shared" si="15"/>
        <v>-424784.38000000024</v>
      </c>
      <c r="O56" s="87">
        <f t="shared" si="15"/>
        <v>5147414.459999999</v>
      </c>
      <c r="P56" s="101">
        <f t="shared" si="15"/>
        <v>8844943.0999999773</v>
      </c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</row>
    <row r="57" spans="1:67" ht="15" thickTop="1"/>
    <row r="58" spans="1:67">
      <c r="F58" s="38"/>
      <c r="G58" s="38"/>
      <c r="H58" s="38"/>
    </row>
    <row r="59" spans="1:67">
      <c r="F59" s="38"/>
      <c r="G59" s="38"/>
      <c r="H59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 i PF</vt:lpstr>
      <vt:lpstr>PF_2025_RZIS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Grzeszczyszyn</dc:creator>
  <cp:lastModifiedBy>Raplis Agnieszka</cp:lastModifiedBy>
  <dcterms:created xsi:type="dcterms:W3CDTF">2023-11-06T12:27:14Z</dcterms:created>
  <dcterms:modified xsi:type="dcterms:W3CDTF">2025-10-22T05:29:06Z</dcterms:modified>
</cp:coreProperties>
</file>